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2120" windowHeight="9120" activeTab="0"/>
  </bookViews>
  <sheets>
    <sheet name="Budgets &amp; Rate Tables" sheetId="1" r:id="rId1"/>
    <sheet name="Master" sheetId="2" r:id="rId2"/>
  </sheets>
  <definedNames>
    <definedName name="Addition_or_Replacement">'Budgets &amp; Rate Tables'!$B$2:$B$3</definedName>
    <definedName name="Adult_Day_Services">'Budgets &amp; Rate Tables'!$H$2:$H$9</definedName>
    <definedName name="Adult_Day_Services_Rates">'Budgets &amp; Rate Tables'!$L$2:$M$33</definedName>
    <definedName name="Budgets">'Budgets &amp; Rate Tables'!$F$2:$G$5</definedName>
    <definedName name="EXTRACT" localSheetId="1">'Master'!#REF!</definedName>
    <definedName name="Frequency">'Budgets &amp; Rate Tables'!$D$2:$D$4</definedName>
    <definedName name="Group">'Budgets &amp; Rate Tables'!$E$2:$E$5</definedName>
    <definedName name="PerMile_PerTripVehicle_Rates">'Budgets &amp; Rate Tables'!$P$2:$Q$3</definedName>
    <definedName name="PerMile_PerTripVehicle_Transportation">'Budgets &amp; Rate Tables'!$J$2:$J$3</definedName>
    <definedName name="PerTrip_Taxi_Commercial_Bus_Rates">'Budgets &amp; Rate Tables'!$R$2:$S$3</definedName>
    <definedName name="PerTrip_Taxi_Commercial_Bus_Transportation">'Budgets &amp; Rate Tables'!$K$2:$K$3</definedName>
    <definedName name="_xlnm.Print_Area" localSheetId="1">'Master'!$A$1:$U$186</definedName>
    <definedName name="Supported_Employment_Community_Rates">'Budgets &amp; Rate Tables'!$N$2:$O$9</definedName>
    <definedName name="Supported_Employment_Community_Services">'Budgets &amp; Rate Tables'!$I$2:$I$9</definedName>
    <definedName name="Units">'Budgets &amp; Rate Tables'!$C$2:$C$3</definedName>
    <definedName name="Vendor">#REF!</definedName>
    <definedName name="x">'Budgets &amp; Rate Tables'!$A$2</definedName>
  </definedNames>
  <calcPr fullCalcOnLoad="1"/>
</workbook>
</file>

<file path=xl/sharedStrings.xml><?xml version="1.0" encoding="utf-8"?>
<sst xmlns="http://schemas.openxmlformats.org/spreadsheetml/2006/main" count="255" uniqueCount="159">
  <si>
    <t>Group A</t>
  </si>
  <si>
    <t>Group A-1</t>
  </si>
  <si>
    <t>Group B</t>
  </si>
  <si>
    <t>Group C</t>
  </si>
  <si>
    <t>Actual</t>
  </si>
  <si>
    <t>Non-Medical Transportation</t>
  </si>
  <si>
    <t>Individual Budget</t>
  </si>
  <si>
    <t>Consumer:</t>
  </si>
  <si>
    <t>Effective Date:</t>
  </si>
  <si>
    <t>Waiver/Budget Span:</t>
  </si>
  <si>
    <t>SASS:</t>
  </si>
  <si>
    <t>Frequency</t>
  </si>
  <si>
    <t>Rate</t>
  </si>
  <si>
    <t>Adult Day Services</t>
  </si>
  <si>
    <t>Budget Limitations:</t>
  </si>
  <si>
    <t>Non - Medical Transportation</t>
  </si>
  <si>
    <t>Individual Budget Allocation:</t>
  </si>
  <si>
    <t>Individual Budget Amount:</t>
  </si>
  <si>
    <t>x</t>
  </si>
  <si>
    <t>Group A - Adult Day Support - 15 Min Rate</t>
  </si>
  <si>
    <t>Group A - Adult Day Support - Daily Rate</t>
  </si>
  <si>
    <t>Group A-1 - Adult Day Support - 15 Min Rate</t>
  </si>
  <si>
    <t>Group A-1 - Adult Day Support - Daily Rate</t>
  </si>
  <si>
    <t>Group B - Adult Day Support - 15 Min Rate</t>
  </si>
  <si>
    <t>Group B - Adult Day Support - Daily Rate</t>
  </si>
  <si>
    <t>Group C - Adult Day Support - 15 Min Rate</t>
  </si>
  <si>
    <t>Group C - Adult Day Support - Daily Rate</t>
  </si>
  <si>
    <t>Group A - Vocational Habilitation - 15 Min Rate</t>
  </si>
  <si>
    <t>Group A - Vocational Habilitation - Daily Rate</t>
  </si>
  <si>
    <t>Group A-1 - Vocational Habilitation - 15 Min Rate</t>
  </si>
  <si>
    <t>Group A-1 - Vocational Habilitation - Daily Rate</t>
  </si>
  <si>
    <t>Group B - Vocational Habilitation - Daily Rate</t>
  </si>
  <si>
    <t>Group C - Vocational Habilitation - 15 Min Rate</t>
  </si>
  <si>
    <t>Group C - Vocational Habilitation - Daily Rate</t>
  </si>
  <si>
    <t>Group A - Adult Day Support &amp; Vocational Habilitation - 15 Min Rate</t>
  </si>
  <si>
    <t>Group A - Adult Day Support &amp; Vocational Habilitation - Daily Rate</t>
  </si>
  <si>
    <t>Group A-1 - Adult Day Support &amp; Vocational Habilitation - 15 Min Rate</t>
  </si>
  <si>
    <t>Group A-1 - Adult Day Support &amp; Vocational Habilitation - Daily Rate</t>
  </si>
  <si>
    <t>Group B - Adult Day Support &amp; Vocational Habilitation - 15 Min Rate</t>
  </si>
  <si>
    <t>Group B - Adult Day Support &amp; Vocational Habilitation - Daily Rate</t>
  </si>
  <si>
    <t>Group C - Adult Day Support &amp; Vocational Habilitation - 15 Min Rate</t>
  </si>
  <si>
    <t>Group C - Adult Day Support &amp; Vocational Habilitation - Daily Rate</t>
  </si>
  <si>
    <t>Taxi/Livery - Non - Medical Transportation - Per Trip</t>
  </si>
  <si>
    <t>Comercial Bus - Non - Medical Transportation - Per Trip</t>
  </si>
  <si>
    <t>Vehicle - Non - Medical Transportation - Per Trip</t>
  </si>
  <si>
    <t>Units</t>
  </si>
  <si>
    <t>Days</t>
  </si>
  <si>
    <t>Per Week</t>
  </si>
  <si>
    <t>Per Month</t>
  </si>
  <si>
    <t>Per Span</t>
  </si>
  <si>
    <t>Adult Day Support - 15 Min Rate</t>
  </si>
  <si>
    <t>Adult Day Support - Daily Rate</t>
  </si>
  <si>
    <t>Vocational Habilitation - 15 Min Rate</t>
  </si>
  <si>
    <t xml:space="preserve"> Having a problem calculating miles?</t>
  </si>
  <si>
    <r>
      <t xml:space="preserve">How many </t>
    </r>
    <r>
      <rPr>
        <sz val="10"/>
        <rFont val="Arial"/>
        <family val="0"/>
      </rPr>
      <t xml:space="preserve">miles (round trip) per day </t>
    </r>
    <r>
      <rPr>
        <sz val="10"/>
        <rFont val="Arial"/>
        <family val="0"/>
      </rPr>
      <t>does the person get?</t>
    </r>
  </si>
  <si>
    <t>Vocational Habilitation - Daily Rate</t>
  </si>
  <si>
    <t>Adult Day Support &amp; Vocational Habilitation - 15 Min Rate</t>
  </si>
  <si>
    <t>Adult Day Support &amp; Vocational Habilitation - Daily Rate</t>
  </si>
  <si>
    <t># of days left in span:</t>
  </si>
  <si>
    <t>Total</t>
  </si>
  <si>
    <t>Agency/CB - Serving 1 Individual - 15 Min Rate</t>
  </si>
  <si>
    <t>Agency/CB - Serving 2 Individuals - 15 Min Rate</t>
  </si>
  <si>
    <t>Agency/CB - Serving 3 Individuals - 15 Min Rate</t>
  </si>
  <si>
    <t>Agency/CB - Serving 4 or more Individuals - 15 Min Rate</t>
  </si>
  <si>
    <t>Individual - Serving 3 Individuals - 15 Min Rate</t>
  </si>
  <si>
    <t>Individual - Serving 2 Individuals - 15 Min Rate</t>
  </si>
  <si>
    <t>Individual - Serving 1 Individual - 15 Min Rate</t>
  </si>
  <si>
    <t>Individual - Serving 4 or more Individuals - 15 Min Rate</t>
  </si>
  <si>
    <t>Time left in Span</t>
  </si>
  <si>
    <t>Adult Day Services Provider 1:</t>
  </si>
  <si>
    <t>Non - Medical Transportation Provider 1:</t>
  </si>
  <si>
    <t>Non - Medical Transportation Provider 2:</t>
  </si>
  <si>
    <t xml:space="preserve">IO: </t>
  </si>
  <si>
    <t xml:space="preserve">Initial: </t>
  </si>
  <si>
    <t xml:space="preserve">Level One: </t>
  </si>
  <si>
    <t xml:space="preserve">Redet: </t>
  </si>
  <si>
    <t xml:space="preserve">Individual Budget: </t>
  </si>
  <si>
    <t xml:space="preserve">Revision: </t>
  </si>
  <si>
    <t>Adult Day Support, Vocational Habilitation &amp; Supported Employment Enclave Services</t>
  </si>
  <si>
    <t xml:space="preserve">Adult Day Services Provider 1 Subtotal: </t>
  </si>
  <si>
    <t xml:space="preserve">Adult Day Services Total: </t>
  </si>
  <si>
    <t>Per Trip Taxi/Livery &amp; Commercial Bus Transportation</t>
  </si>
  <si>
    <t xml:space="preserve">Non-Medical Transportation Total: </t>
  </si>
  <si>
    <t>Provider 1:</t>
  </si>
  <si>
    <t>Address:</t>
  </si>
  <si>
    <t>Service Description</t>
  </si>
  <si>
    <t># of Units</t>
  </si>
  <si>
    <t>Rate per Unit</t>
  </si>
  <si>
    <t>Cost</t>
  </si>
  <si>
    <t>Provider 2:</t>
  </si>
  <si>
    <t>Other Budget Items:</t>
  </si>
  <si>
    <t>Service/Item Description</t>
  </si>
  <si>
    <t>Vendor/Provider</t>
  </si>
  <si>
    <t>Total Authorized Individual Budget Costs:</t>
  </si>
  <si>
    <t>Yes</t>
  </si>
  <si>
    <t>No</t>
  </si>
  <si>
    <t>Coordinator/Director Approval</t>
  </si>
  <si>
    <t>Date</t>
  </si>
  <si>
    <t>Supported Employment Enclave - 15 Min Rate</t>
  </si>
  <si>
    <t>Supported Employment Enclave - Daily Rate</t>
  </si>
  <si>
    <t>Group A - Supported Employment Enclave - 15 Min Rate</t>
  </si>
  <si>
    <t>Group A - Supported Employment Enclave - Daily Rate</t>
  </si>
  <si>
    <t>Group A-1 - Supported Employment Enclave - 15 Min Rate</t>
  </si>
  <si>
    <t>Group A-1 - Supported Employment Enclave - Daily Rate</t>
  </si>
  <si>
    <t>Group B - Supported Employment Enclave - 15 Min Rate</t>
  </si>
  <si>
    <t>Group B - Supported Employment Enclave - Daily Rate</t>
  </si>
  <si>
    <t>Group C - Supported Employment Enclave - 15 Min Rate</t>
  </si>
  <si>
    <t>Group C - Supported Employment Enclave - Daily Rate</t>
  </si>
  <si>
    <t>Total #of miles per</t>
  </si>
  <si>
    <t>Supported Employment - Enclave &amp;/or Supported Employment - Community - Equipment Purchase &amp;/or Modification (Enter total cost for equipment/modifications by this provider)</t>
  </si>
  <si>
    <t>Group B - Vocational Habilitation - 15 Min Rate</t>
  </si>
  <si>
    <t>Acuity Assessment Group:</t>
  </si>
  <si>
    <t>-</t>
  </si>
  <si>
    <t>are you calculating for?</t>
  </si>
  <si>
    <t>Year</t>
  </si>
  <si>
    <t>Month</t>
  </si>
  <si>
    <t>Week</t>
  </si>
  <si>
    <t>Total #of units per</t>
  </si>
  <si>
    <t xml:space="preserve"> Having a problem calculating units?</t>
  </si>
  <si>
    <r>
      <t xml:space="preserve">How many </t>
    </r>
    <r>
      <rPr>
        <sz val="10"/>
        <rFont val="Arial"/>
        <family val="0"/>
      </rPr>
      <t xml:space="preserve">hours per day </t>
    </r>
    <r>
      <rPr>
        <sz val="10"/>
        <rFont val="Arial"/>
        <family val="0"/>
      </rPr>
      <t>does the person work?</t>
    </r>
  </si>
  <si>
    <r>
      <t xml:space="preserve">How many </t>
    </r>
    <r>
      <rPr>
        <sz val="10"/>
        <rFont val="Arial"/>
        <family val="0"/>
      </rPr>
      <t>days per</t>
    </r>
  </si>
  <si>
    <t>Jaime Olszewski</t>
  </si>
  <si>
    <t>How many days/week does the person work?</t>
  </si>
  <si>
    <t>How many closing days?</t>
  </si>
  <si>
    <r>
      <t xml:space="preserve">Total # of </t>
    </r>
    <r>
      <rPr>
        <b/>
        <sz val="10"/>
        <rFont val="Arial"/>
        <family val="2"/>
      </rPr>
      <t>Days/Span</t>
    </r>
  </si>
  <si>
    <t>Group</t>
  </si>
  <si>
    <t>Budgets</t>
  </si>
  <si>
    <t>Adult_Day_Services</t>
  </si>
  <si>
    <t>PerMile_PerTripVehicle_Transportation</t>
  </si>
  <si>
    <t>PerTrip_Taxi_Commercial_Bus_Transportation</t>
  </si>
  <si>
    <t>Adult_Day_Services_Rates</t>
  </si>
  <si>
    <t>Supported_Employment_Community_Rates</t>
  </si>
  <si>
    <t>PerMile_PerTripVehicle_Rates</t>
  </si>
  <si>
    <t>PerTrip_Taxi_Commercial_Bus_Rates</t>
  </si>
  <si>
    <t>Supported_Employment_Community_Services</t>
  </si>
  <si>
    <t>Amount Remaining in Individual Budget:</t>
  </si>
  <si>
    <t>Subtracting Closing, Vacation and Sick Days</t>
  </si>
  <si>
    <t>Total Days /Units</t>
  </si>
  <si>
    <t>Total Cost</t>
  </si>
  <si>
    <t>Closing, Vacation &amp; Sick Total Days/Units</t>
  </si>
  <si>
    <t>Miles/Trips subtracted for closings/ vacation/sick</t>
  </si>
  <si>
    <t>Adult Day Services Provider 2:</t>
  </si>
  <si>
    <t xml:space="preserve">Adult Day Services Provider 2 Subtotal: </t>
  </si>
  <si>
    <t>Adult Day Services Provider 3:</t>
  </si>
  <si>
    <t xml:space="preserve">Adult Day Services Provider 3 Subtotal: </t>
  </si>
  <si>
    <t xml:space="preserve">Non - Medical Transportation Provider 1 Subtotal: </t>
  </si>
  <si>
    <t xml:space="preserve">Non - Medical Transportation Provider 2 Subtotal: </t>
  </si>
  <si>
    <t>Total Miles /Trips</t>
  </si>
  <si>
    <t>Original worksheet created by Jaime Olszewski - Lucas County Board of MR/DD</t>
  </si>
  <si>
    <t xml:space="preserve">All services/items on this cost worksheet are identified in the ISP </t>
  </si>
  <si>
    <t>Day Services Cost Worksheet (Appendix B)</t>
  </si>
  <si>
    <t>Addition or Replacement</t>
  </si>
  <si>
    <t>In addition to previous cost worksheet</t>
  </si>
  <si>
    <t>Replacing previous cost worksheet</t>
  </si>
  <si>
    <t>Non - Medical Transportation - Per Mile</t>
  </si>
  <si>
    <t>Per Trip Vehicle &amp; Per Mile (w/ # of passengers) Transportation</t>
  </si>
  <si>
    <t>Supported Employment  - Community Services &amp; # of Individuals in Group</t>
  </si>
  <si>
    <t>Atco/County Board</t>
  </si>
  <si>
    <t>mike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</si>
</sst>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00000000000"/>
    <numFmt numFmtId="167" formatCode="#,##0.0"/>
    <numFmt numFmtId="168" formatCode="&quot;$&quot;#,##0.0000"/>
    <numFmt numFmtId="169" formatCode="mmmm\ d\,\ yyyy"/>
    <numFmt numFmtId="170" formatCode="mmm\-yyyy"/>
  </numFmts>
  <fonts count="1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u val="single"/>
      <sz val="16"/>
      <name val="Arial"/>
      <family val="2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"/>
      <color indexed="9"/>
      <name val="Arial"/>
      <family val="2"/>
    </font>
    <font>
      <sz val="2"/>
      <color indexed="9"/>
      <name val="Arial"/>
      <family val="2"/>
    </font>
    <font>
      <b/>
      <i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45"/>
      </left>
      <right style="thin">
        <color indexed="45"/>
      </right>
      <top style="thin"/>
      <bottom style="thin"/>
    </border>
    <border>
      <left style="medium"/>
      <right style="medium"/>
      <top style="medium"/>
      <bottom style="medium"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dotted">
        <color indexed="55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dotted">
        <color indexed="55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double"/>
    </border>
    <border>
      <left>
        <color indexed="63"/>
      </left>
      <right>
        <color indexed="63"/>
      </right>
      <top style="thin">
        <color indexed="9"/>
      </top>
      <bottom style="double"/>
    </border>
    <border>
      <left>
        <color indexed="63"/>
      </left>
      <right style="thin">
        <color indexed="9"/>
      </right>
      <top style="thin">
        <color indexed="9"/>
      </top>
      <bottom style="double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 style="medium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22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45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thin">
        <color indexed="45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9"/>
      </top>
      <bottom style="dotted">
        <color indexed="55"/>
      </bottom>
    </border>
    <border>
      <left>
        <color indexed="63"/>
      </left>
      <right style="thin">
        <color indexed="9"/>
      </right>
      <top style="thin">
        <color indexed="9"/>
      </top>
      <bottom style="dotted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1" xfId="0" applyFont="1" applyFill="1" applyBorder="1" applyAlignment="1" applyProtection="1">
      <alignment horizontal="left"/>
      <protection hidden="1"/>
    </xf>
    <xf numFmtId="14" fontId="0" fillId="0" borderId="1" xfId="0" applyNumberFormat="1" applyFill="1" applyBorder="1" applyAlignment="1" applyProtection="1">
      <alignment horizontal="left" indent="1"/>
      <protection hidden="1"/>
    </xf>
    <xf numFmtId="0" fontId="0" fillId="0" borderId="1" xfId="0" applyFill="1" applyBorder="1" applyAlignment="1" applyProtection="1">
      <alignment horizontal="left" indent="1"/>
      <protection hidden="1"/>
    </xf>
    <xf numFmtId="0" fontId="0" fillId="0" borderId="1" xfId="0" applyFont="1" applyFill="1" applyBorder="1" applyAlignment="1" applyProtection="1">
      <alignment horizontal="left" wrapText="1"/>
      <protection hidden="1"/>
    </xf>
    <xf numFmtId="0" fontId="0" fillId="0" borderId="2" xfId="0" applyFill="1" applyBorder="1" applyAlignment="1" applyProtection="1">
      <alignment/>
      <protection hidden="1"/>
    </xf>
    <xf numFmtId="164" fontId="0" fillId="0" borderId="1" xfId="0" applyNumberFormat="1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 horizontal="center"/>
      <protection hidden="1"/>
    </xf>
    <xf numFmtId="167" fontId="0" fillId="3" borderId="4" xfId="0" applyNumberForma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NumberFormat="1" applyFill="1" applyBorder="1" applyAlignment="1" applyProtection="1">
      <alignment horizontal="center"/>
      <protection hidden="1"/>
    </xf>
    <xf numFmtId="0" fontId="0" fillId="0" borderId="1" xfId="0" applyNumberFormat="1" applyFill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/>
      <protection hidden="1"/>
    </xf>
    <xf numFmtId="1" fontId="0" fillId="2" borderId="1" xfId="0" applyNumberFormat="1" applyFill="1" applyBorder="1" applyAlignment="1" applyProtection="1">
      <alignment/>
      <protection hidden="1"/>
    </xf>
    <xf numFmtId="0" fontId="0" fillId="2" borderId="1" xfId="0" applyNumberFormat="1" applyFill="1" applyBorder="1" applyAlignment="1" applyProtection="1">
      <alignment/>
      <protection hidden="1"/>
    </xf>
    <xf numFmtId="1" fontId="0" fillId="0" borderId="1" xfId="0" applyNumberForma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1" fontId="0" fillId="4" borderId="4" xfId="0" applyNumberFormat="1" applyFill="1" applyBorder="1" applyAlignment="1" applyProtection="1">
      <alignment/>
      <protection locked="0"/>
    </xf>
    <xf numFmtId="0" fontId="1" fillId="4" borderId="4" xfId="0" applyFont="1" applyFill="1" applyBorder="1" applyAlignment="1" applyProtection="1">
      <alignment horizontal="center" wrapText="1"/>
      <protection hidden="1"/>
    </xf>
    <xf numFmtId="0" fontId="13" fillId="0" borderId="1" xfId="0" applyFont="1" applyBorder="1" applyAlignment="1" applyProtection="1">
      <alignment/>
      <protection hidden="1"/>
    </xf>
    <xf numFmtId="0" fontId="0" fillId="4" borderId="6" xfId="0" applyFill="1" applyBorder="1" applyAlignment="1" applyProtection="1">
      <alignment horizontal="center"/>
      <protection hidden="1"/>
    </xf>
    <xf numFmtId="0" fontId="9" fillId="5" borderId="1" xfId="0" applyFont="1" applyFill="1" applyBorder="1" applyAlignment="1" applyProtection="1">
      <alignment/>
      <protection hidden="1"/>
    </xf>
    <xf numFmtId="0" fontId="9" fillId="5" borderId="3" xfId="0" applyFont="1" applyFill="1" applyBorder="1" applyAlignment="1" applyProtection="1">
      <alignment/>
      <protection hidden="1"/>
    </xf>
    <xf numFmtId="0" fontId="1" fillId="3" borderId="7" xfId="0" applyFont="1" applyFill="1" applyBorder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4" borderId="8" xfId="0" applyFill="1" applyBorder="1" applyAlignment="1" applyProtection="1">
      <alignment/>
      <protection locked="0"/>
    </xf>
    <xf numFmtId="0" fontId="0" fillId="4" borderId="9" xfId="0" applyFill="1" applyBorder="1" applyAlignment="1" applyProtection="1">
      <alignment/>
      <protection locked="0"/>
    </xf>
    <xf numFmtId="0" fontId="0" fillId="6" borderId="10" xfId="0" applyFont="1" applyFill="1" applyBorder="1" applyAlignment="1" applyProtection="1">
      <alignment/>
      <protection locked="0"/>
    </xf>
    <xf numFmtId="0" fontId="15" fillId="0" borderId="1" xfId="0" applyFont="1" applyBorder="1" applyAlignment="1" applyProtection="1">
      <alignment/>
      <protection hidden="1"/>
    </xf>
    <xf numFmtId="0" fontId="1" fillId="7" borderId="4" xfId="0" applyFont="1" applyFill="1" applyBorder="1" applyAlignment="1" applyProtection="1">
      <alignment horizontal="center" wrapText="1"/>
      <protection hidden="1"/>
    </xf>
    <xf numFmtId="0" fontId="0" fillId="3" borderId="7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/>
      <protection hidden="1"/>
    </xf>
    <xf numFmtId="0" fontId="0" fillId="0" borderId="5" xfId="0" applyFont="1" applyFill="1" applyBorder="1" applyAlignment="1" applyProtection="1">
      <alignment horizontal="left"/>
      <protection hidden="1"/>
    </xf>
    <xf numFmtId="0" fontId="1" fillId="8" borderId="4" xfId="0" applyFont="1" applyFill="1" applyBorder="1" applyAlignment="1" applyProtection="1">
      <alignment horizontal="center" wrapText="1"/>
      <protection hidden="1"/>
    </xf>
    <xf numFmtId="0" fontId="1" fillId="3" borderId="4" xfId="0" applyFont="1" applyFill="1" applyBorder="1" applyAlignment="1" applyProtection="1">
      <alignment horizontal="center" wrapText="1"/>
      <protection hidden="1"/>
    </xf>
    <xf numFmtId="0" fontId="1" fillId="6" borderId="4" xfId="0" applyFont="1" applyFill="1" applyBorder="1" applyAlignment="1" applyProtection="1">
      <alignment horizontal="center" wrapText="1"/>
      <protection hidden="1"/>
    </xf>
    <xf numFmtId="0" fontId="0" fillId="8" borderId="4" xfId="0" applyFill="1" applyBorder="1" applyAlignment="1" applyProtection="1">
      <alignment/>
      <protection hidden="1"/>
    </xf>
    <xf numFmtId="0" fontId="0" fillId="3" borderId="4" xfId="0" applyFont="1" applyFill="1" applyBorder="1" applyAlignment="1" applyProtection="1">
      <alignment horizontal="left"/>
      <protection hidden="1"/>
    </xf>
    <xf numFmtId="0" fontId="1" fillId="9" borderId="4" xfId="0" applyFont="1" applyFill="1" applyBorder="1" applyAlignment="1" applyProtection="1">
      <alignment horizontal="left"/>
      <protection hidden="1"/>
    </xf>
    <xf numFmtId="5" fontId="0" fillId="9" borderId="4" xfId="17" applyNumberFormat="1" applyFill="1" applyBorder="1" applyAlignment="1" applyProtection="1">
      <alignment horizontal="left" vertical="center"/>
      <protection hidden="1"/>
    </xf>
    <xf numFmtId="0" fontId="0" fillId="7" borderId="4" xfId="0" applyFont="1" applyFill="1" applyBorder="1" applyAlignment="1" applyProtection="1">
      <alignment horizontal="left"/>
      <protection hidden="1"/>
    </xf>
    <xf numFmtId="0" fontId="0" fillId="6" borderId="4" xfId="0" applyFont="1" applyFill="1" applyBorder="1" applyAlignment="1" applyProtection="1">
      <alignment horizontal="left"/>
      <protection hidden="1"/>
    </xf>
    <xf numFmtId="0" fontId="0" fillId="4" borderId="4" xfId="0" applyFont="1" applyFill="1" applyBorder="1" applyAlignment="1" applyProtection="1">
      <alignment horizontal="left"/>
      <protection hidden="1"/>
    </xf>
    <xf numFmtId="164" fontId="0" fillId="7" borderId="4" xfId="0" applyNumberFormat="1" applyFill="1" applyBorder="1" applyAlignment="1" applyProtection="1">
      <alignment horizontal="right"/>
      <protection hidden="1"/>
    </xf>
    <xf numFmtId="164" fontId="0" fillId="6" borderId="4" xfId="0" applyNumberFormat="1" applyFill="1" applyBorder="1" applyAlignment="1" applyProtection="1">
      <alignment horizontal="right"/>
      <protection hidden="1"/>
    </xf>
    <xf numFmtId="164" fontId="0" fillId="4" borderId="4" xfId="0" applyNumberFormat="1" applyFill="1" applyBorder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0" fillId="7" borderId="4" xfId="0" applyFont="1" applyFill="1" applyBorder="1" applyAlignment="1" applyProtection="1">
      <alignment horizontal="left" wrapText="1"/>
      <protection hidden="1"/>
    </xf>
    <xf numFmtId="0" fontId="0" fillId="0" borderId="3" xfId="0" applyBorder="1" applyAlignment="1" applyProtection="1">
      <alignment wrapText="1"/>
      <protection hidden="1"/>
    </xf>
    <xf numFmtId="164" fontId="0" fillId="7" borderId="4" xfId="0" applyNumberFormat="1" applyFill="1" applyBorder="1" applyAlignment="1" applyProtection="1">
      <alignment horizontal="right" wrapText="1"/>
      <protection hidden="1"/>
    </xf>
    <xf numFmtId="0" fontId="0" fillId="0" borderId="3" xfId="0" applyBorder="1" applyAlignment="1" applyProtection="1">
      <alignment horizontal="center" wrapText="1"/>
      <protection hidden="1"/>
    </xf>
    <xf numFmtId="0" fontId="0" fillId="4" borderId="4" xfId="0" applyFill="1" applyBorder="1" applyAlignment="1" applyProtection="1">
      <alignment horizontal="right"/>
      <protection hidden="1"/>
    </xf>
    <xf numFmtId="0" fontId="0" fillId="0" borderId="1" xfId="0" applyNumberFormat="1" applyBorder="1" applyAlignment="1" applyProtection="1">
      <alignment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0" fontId="16" fillId="0" borderId="1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13" fillId="0" borderId="1" xfId="0" applyFont="1" applyFill="1" applyBorder="1" applyAlignment="1" applyProtection="1">
      <alignment/>
      <protection hidden="1"/>
    </xf>
    <xf numFmtId="0" fontId="13" fillId="0" borderId="1" xfId="0" applyFont="1" applyBorder="1" applyAlignment="1" applyProtection="1">
      <alignment/>
      <protection hidden="1"/>
    </xf>
    <xf numFmtId="0" fontId="0" fillId="0" borderId="5" xfId="0" applyFill="1" applyBorder="1" applyAlignment="1" applyProtection="1">
      <alignment horizontal="center"/>
      <protection hidden="1"/>
    </xf>
    <xf numFmtId="44" fontId="0" fillId="0" borderId="3" xfId="17" applyFill="1" applyBorder="1" applyAlignment="1" applyProtection="1">
      <alignment/>
      <protection hidden="1"/>
    </xf>
    <xf numFmtId="1" fontId="0" fillId="3" borderId="4" xfId="0" applyNumberFormat="1" applyFill="1" applyBorder="1" applyAlignment="1" applyProtection="1">
      <alignment horizontal="center"/>
      <protection hidden="1"/>
    </xf>
    <xf numFmtId="0" fontId="0" fillId="0" borderId="13" xfId="0" applyNumberForma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6" borderId="14" xfId="0" applyFont="1" applyFill="1" applyBorder="1" applyAlignment="1" applyProtection="1">
      <alignment horizontal="center" vertical="center"/>
      <protection locked="0"/>
    </xf>
    <xf numFmtId="0" fontId="0" fillId="6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right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1" fillId="8" borderId="17" xfId="0" applyFont="1" applyFill="1" applyBorder="1" applyAlignment="1" applyProtection="1">
      <alignment horizontal="center" wrapText="1"/>
      <protection hidden="1"/>
    </xf>
    <xf numFmtId="0" fontId="0" fillId="8" borderId="17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right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0" borderId="5" xfId="0" applyFill="1" applyBorder="1" applyAlignment="1" applyProtection="1">
      <alignment/>
      <protection hidden="1"/>
    </xf>
    <xf numFmtId="0" fontId="1" fillId="3" borderId="12" xfId="0" applyFont="1" applyFill="1" applyBorder="1" applyAlignment="1" applyProtection="1">
      <alignment horizontal="left"/>
      <protection hidden="1"/>
    </xf>
    <xf numFmtId="0" fontId="1" fillId="3" borderId="2" xfId="0" applyFont="1" applyFill="1" applyBorder="1" applyAlignment="1" applyProtection="1">
      <alignment horizontal="left"/>
      <protection hidden="1"/>
    </xf>
    <xf numFmtId="0" fontId="0" fillId="3" borderId="20" xfId="0" applyFont="1" applyFill="1" applyBorder="1" applyAlignment="1" applyProtection="1">
      <alignment horizontal="center"/>
      <protection hidden="1"/>
    </xf>
    <xf numFmtId="0" fontId="14" fillId="0" borderId="21" xfId="0" applyFont="1" applyBorder="1" applyAlignment="1" applyProtection="1">
      <alignment horizontal="center"/>
      <protection hidden="1"/>
    </xf>
    <xf numFmtId="0" fontId="1" fillId="3" borderId="22" xfId="0" applyFont="1" applyFill="1" applyBorder="1" applyAlignment="1" applyProtection="1">
      <alignment horizontal="left"/>
      <protection hidden="1"/>
    </xf>
    <xf numFmtId="0" fontId="0" fillId="3" borderId="2" xfId="0" applyFont="1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14" fillId="0" borderId="24" xfId="0" applyFon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0" fontId="1" fillId="4" borderId="4" xfId="0" applyFont="1" applyFill="1" applyBorder="1" applyAlignment="1" applyProtection="1">
      <alignment horizontal="center" wrapText="1"/>
      <protection hidden="1"/>
    </xf>
    <xf numFmtId="0" fontId="1" fillId="7" borderId="4" xfId="0" applyFont="1" applyFill="1" applyBorder="1" applyAlignment="1" applyProtection="1">
      <alignment horizontal="center" wrapText="1"/>
      <protection hidden="1"/>
    </xf>
    <xf numFmtId="0" fontId="1" fillId="9" borderId="4" xfId="0" applyFont="1" applyFill="1" applyBorder="1" applyAlignment="1" applyProtection="1">
      <alignment horizontal="center" wrapText="1"/>
      <protection hidden="1"/>
    </xf>
    <xf numFmtId="0" fontId="1" fillId="6" borderId="4" xfId="0" applyFont="1" applyFill="1" applyBorder="1" applyAlignment="1" applyProtection="1">
      <alignment horizontal="center"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3" borderId="29" xfId="0" applyFill="1" applyBorder="1" applyAlignment="1" applyProtection="1">
      <alignment horizontal="left"/>
      <protection hidden="1"/>
    </xf>
    <xf numFmtId="0" fontId="0" fillId="3" borderId="30" xfId="0" applyFill="1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24" xfId="0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 horizontal="center"/>
      <protection hidden="1"/>
    </xf>
    <xf numFmtId="164" fontId="0" fillId="0" borderId="4" xfId="0" applyNumberForma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left"/>
      <protection locked="0"/>
    </xf>
    <xf numFmtId="0" fontId="0" fillId="0" borderId="33" xfId="0" applyFill="1" applyBorder="1" applyAlignment="1" applyProtection="1">
      <alignment horizontal="center"/>
      <protection hidden="1"/>
    </xf>
    <xf numFmtId="0" fontId="0" fillId="0" borderId="34" xfId="0" applyFill="1" applyBorder="1" applyAlignment="1" applyProtection="1">
      <alignment horizontal="center"/>
      <protection hidden="1"/>
    </xf>
    <xf numFmtId="164" fontId="0" fillId="0" borderId="34" xfId="0" applyNumberFormat="1" applyFill="1" applyBorder="1" applyAlignment="1" applyProtection="1">
      <alignment horizontal="center"/>
      <protection hidden="1"/>
    </xf>
    <xf numFmtId="164" fontId="0" fillId="0" borderId="35" xfId="0" applyNumberFormat="1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center"/>
      <protection locked="0"/>
    </xf>
    <xf numFmtId="164" fontId="0" fillId="0" borderId="32" xfId="0" applyNumberFormat="1" applyFill="1" applyBorder="1" applyAlignment="1" applyProtection="1">
      <alignment horizontal="center"/>
      <protection hidden="1"/>
    </xf>
    <xf numFmtId="0" fontId="0" fillId="0" borderId="36" xfId="0" applyFill="1" applyBorder="1" applyAlignment="1" applyProtection="1">
      <alignment horizontal="center"/>
      <protection hidden="1"/>
    </xf>
    <xf numFmtId="0" fontId="0" fillId="0" borderId="37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12" fillId="0" borderId="18" xfId="0" applyFont="1" applyBorder="1" applyAlignment="1" applyProtection="1">
      <alignment horizontal="left" wrapText="1"/>
      <protection hidden="1"/>
    </xf>
    <xf numFmtId="0" fontId="12" fillId="0" borderId="22" xfId="0" applyFont="1" applyBorder="1" applyAlignment="1" applyProtection="1">
      <alignment horizontal="left" wrapText="1"/>
      <protection hidden="1"/>
    </xf>
    <xf numFmtId="0" fontId="12" fillId="0" borderId="11" xfId="0" applyFont="1" applyBorder="1" applyAlignment="1" applyProtection="1">
      <alignment horizontal="left" wrapText="1"/>
      <protection hidden="1"/>
    </xf>
    <xf numFmtId="0" fontId="12" fillId="0" borderId="12" xfId="0" applyFont="1" applyBorder="1" applyAlignment="1" applyProtection="1">
      <alignment horizontal="left" wrapText="1"/>
      <protection hidden="1"/>
    </xf>
    <xf numFmtId="0" fontId="12" fillId="0" borderId="2" xfId="0" applyFont="1" applyBorder="1" applyAlignment="1" applyProtection="1">
      <alignment horizontal="left" wrapText="1"/>
      <protection hidden="1"/>
    </xf>
    <xf numFmtId="0" fontId="12" fillId="0" borderId="3" xfId="0" applyFont="1" applyBorder="1" applyAlignment="1" applyProtection="1">
      <alignment horizontal="left" wrapText="1"/>
      <protection hidden="1"/>
    </xf>
    <xf numFmtId="0" fontId="0" fillId="0" borderId="1" xfId="0" applyNumberFormat="1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38" xfId="0" applyFill="1" applyBorder="1" applyAlignment="1" applyProtection="1">
      <alignment horizontal="left"/>
      <protection locked="0"/>
    </xf>
    <xf numFmtId="0" fontId="0" fillId="0" borderId="39" xfId="0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7" fillId="0" borderId="40" xfId="0" applyFont="1" applyFill="1" applyBorder="1" applyAlignment="1" applyProtection="1">
      <alignment horizontal="left" vertical="center"/>
      <protection locked="0"/>
    </xf>
    <xf numFmtId="0" fontId="7" fillId="0" borderId="41" xfId="0" applyFont="1" applyFill="1" applyBorder="1" applyAlignment="1" applyProtection="1">
      <alignment horizontal="left" vertical="center"/>
      <protection locked="0"/>
    </xf>
    <xf numFmtId="0" fontId="7" fillId="0" borderId="42" xfId="0" applyFont="1" applyFill="1" applyBorder="1" applyAlignment="1" applyProtection="1">
      <alignment horizontal="left" vertical="center"/>
      <protection locked="0"/>
    </xf>
    <xf numFmtId="0" fontId="0" fillId="0" borderId="43" xfId="0" applyFill="1" applyBorder="1" applyAlignment="1" applyProtection="1">
      <alignment horizontal="center"/>
      <protection hidden="1"/>
    </xf>
    <xf numFmtId="0" fontId="0" fillId="0" borderId="44" xfId="0" applyFill="1" applyBorder="1" applyAlignment="1" applyProtection="1">
      <alignment horizontal="center"/>
      <protection hidden="1"/>
    </xf>
    <xf numFmtId="0" fontId="0" fillId="0" borderId="45" xfId="0" applyFill="1" applyBorder="1" applyAlignment="1" applyProtection="1">
      <alignment horizontal="center"/>
      <protection hidden="1"/>
    </xf>
    <xf numFmtId="0" fontId="0" fillId="0" borderId="46" xfId="0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/>
      <protection locked="0"/>
    </xf>
    <xf numFmtId="0" fontId="0" fillId="0" borderId="48" xfId="0" applyFill="1" applyBorder="1" applyAlignment="1" applyProtection="1">
      <alignment horizontal="left"/>
      <protection locked="0"/>
    </xf>
    <xf numFmtId="0" fontId="0" fillId="0" borderId="49" xfId="0" applyFill="1" applyBorder="1" applyAlignment="1" applyProtection="1">
      <alignment horizontal="left"/>
      <protection locked="0"/>
    </xf>
    <xf numFmtId="0" fontId="10" fillId="0" borderId="24" xfId="0" applyFont="1" applyFill="1" applyBorder="1" applyAlignment="1" applyProtection="1">
      <alignment horizontal="center"/>
      <protection hidden="1"/>
    </xf>
    <xf numFmtId="0" fontId="10" fillId="0" borderId="21" xfId="0" applyFont="1" applyFill="1" applyBorder="1" applyAlignment="1" applyProtection="1">
      <alignment horizontal="center"/>
      <protection hidden="1"/>
    </xf>
    <xf numFmtId="0" fontId="10" fillId="0" borderId="31" xfId="0" applyFont="1" applyFill="1" applyBorder="1" applyAlignment="1" applyProtection="1">
      <alignment horizont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/>
      <protection hidden="1"/>
    </xf>
    <xf numFmtId="164" fontId="0" fillId="3" borderId="4" xfId="0" applyNumberFormat="1" applyFill="1" applyBorder="1" applyAlignment="1" applyProtection="1">
      <alignment horizontal="center"/>
      <protection hidden="1"/>
    </xf>
    <xf numFmtId="164" fontId="0" fillId="4" borderId="4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50" xfId="0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53" xfId="0" applyFill="1" applyBorder="1" applyAlignment="1" applyProtection="1">
      <alignment horizontal="left"/>
      <protection locked="0"/>
    </xf>
    <xf numFmtId="0" fontId="0" fillId="0" borderId="54" xfId="0" applyFill="1" applyBorder="1" applyAlignment="1" applyProtection="1">
      <alignment horizontal="left"/>
      <protection locked="0"/>
    </xf>
    <xf numFmtId="0" fontId="0" fillId="0" borderId="55" xfId="0" applyFill="1" applyBorder="1" applyAlignment="1" applyProtection="1">
      <alignment horizontal="left"/>
      <protection locked="0"/>
    </xf>
    <xf numFmtId="0" fontId="0" fillId="0" borderId="56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57" xfId="0" applyFill="1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58" xfId="0" applyFill="1" applyBorder="1" applyAlignment="1" applyProtection="1">
      <alignment horizontal="center"/>
      <protection hidden="1"/>
    </xf>
    <xf numFmtId="0" fontId="0" fillId="0" borderId="59" xfId="0" applyFill="1" applyBorder="1" applyAlignment="1" applyProtection="1">
      <alignment horizontal="center"/>
      <protection hidden="1"/>
    </xf>
    <xf numFmtId="0" fontId="0" fillId="0" borderId="60" xfId="0" applyFill="1" applyBorder="1" applyAlignment="1" applyProtection="1">
      <alignment horizontal="center"/>
      <protection hidden="1"/>
    </xf>
    <xf numFmtId="0" fontId="0" fillId="0" borderId="61" xfId="0" applyFill="1" applyBorder="1" applyAlignment="1" applyProtection="1">
      <alignment horizontal="center"/>
      <protection hidden="1"/>
    </xf>
    <xf numFmtId="0" fontId="0" fillId="0" borderId="62" xfId="0" applyFill="1" applyBorder="1" applyAlignment="1" applyProtection="1">
      <alignment horizontal="center"/>
      <protection hidden="1"/>
    </xf>
    <xf numFmtId="0" fontId="0" fillId="0" borderId="63" xfId="0" applyFill="1" applyBorder="1" applyAlignment="1" applyProtection="1">
      <alignment horizontal="center"/>
      <protection hidden="1"/>
    </xf>
    <xf numFmtId="0" fontId="7" fillId="0" borderId="40" xfId="0" applyFont="1" applyFill="1" applyBorder="1" applyAlignment="1" applyProtection="1">
      <alignment vertical="center"/>
      <protection hidden="1"/>
    </xf>
    <xf numFmtId="0" fontId="7" fillId="0" borderId="41" xfId="0" applyFont="1" applyFill="1" applyBorder="1" applyAlignment="1" applyProtection="1">
      <alignment vertical="center"/>
      <protection hidden="1"/>
    </xf>
    <xf numFmtId="0" fontId="7" fillId="0" borderId="42" xfId="0" applyFont="1" applyFill="1" applyBorder="1" applyAlignment="1" applyProtection="1">
      <alignment vertical="center"/>
      <protection hidden="1"/>
    </xf>
    <xf numFmtId="164" fontId="0" fillId="0" borderId="32" xfId="0" applyNumberFormat="1" applyFill="1" applyBorder="1" applyAlignment="1" applyProtection="1">
      <alignment horizontal="center"/>
      <protection locked="0"/>
    </xf>
    <xf numFmtId="164" fontId="0" fillId="3" borderId="64" xfId="0" applyNumberFormat="1" applyFill="1" applyBorder="1" applyAlignment="1" applyProtection="1">
      <alignment horizontal="center"/>
      <protection hidden="1"/>
    </xf>
    <xf numFmtId="164" fontId="0" fillId="4" borderId="64" xfId="0" applyNumberForma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wrapText="1"/>
      <protection hidden="1"/>
    </xf>
    <xf numFmtId="0" fontId="1" fillId="0" borderId="64" xfId="0" applyFont="1" applyBorder="1" applyAlignment="1" applyProtection="1">
      <alignment horizontal="center" wrapText="1"/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3" xfId="0" applyFont="1" applyFill="1" applyBorder="1" applyAlignment="1" applyProtection="1">
      <alignment horizontal="center"/>
      <protection hidden="1"/>
    </xf>
    <xf numFmtId="0" fontId="5" fillId="3" borderId="65" xfId="0" applyFont="1" applyFill="1" applyBorder="1" applyAlignment="1" applyProtection="1">
      <alignment horizontal="center"/>
      <protection hidden="1"/>
    </xf>
    <xf numFmtId="0" fontId="5" fillId="3" borderId="66" xfId="0" applyFont="1" applyFill="1" applyBorder="1" applyAlignment="1" applyProtection="1">
      <alignment horizontal="center"/>
      <protection hidden="1"/>
    </xf>
    <xf numFmtId="0" fontId="0" fillId="0" borderId="67" xfId="0" applyFill="1" applyBorder="1" applyAlignment="1" applyProtection="1">
      <alignment horizontal="center"/>
      <protection hidden="1"/>
    </xf>
    <xf numFmtId="0" fontId="0" fillId="0" borderId="68" xfId="0" applyFill="1" applyBorder="1" applyAlignment="1" applyProtection="1">
      <alignment horizontal="center"/>
      <protection hidden="1"/>
    </xf>
    <xf numFmtId="0" fontId="0" fillId="0" borderId="69" xfId="0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164" fontId="8" fillId="3" borderId="70" xfId="0" applyNumberFormat="1" applyFont="1" applyFill="1" applyBorder="1" applyAlignment="1" applyProtection="1">
      <alignment horizontal="center"/>
      <protection hidden="1"/>
    </xf>
    <xf numFmtId="0" fontId="8" fillId="3" borderId="71" xfId="0" applyFont="1" applyFill="1" applyBorder="1" applyAlignment="1" applyProtection="1">
      <alignment horizontal="center"/>
      <protection hidden="1"/>
    </xf>
    <xf numFmtId="0" fontId="0" fillId="6" borderId="72" xfId="0" applyFill="1" applyBorder="1" applyAlignment="1" applyProtection="1">
      <alignment horizontal="center"/>
      <protection locked="0"/>
    </xf>
    <xf numFmtId="0" fontId="0" fillId="6" borderId="38" xfId="0" applyFill="1" applyBorder="1" applyAlignment="1" applyProtection="1">
      <alignment horizontal="center"/>
      <protection locked="0"/>
    </xf>
    <xf numFmtId="0" fontId="0" fillId="6" borderId="39" xfId="0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 wrapText="1"/>
      <protection hidden="1"/>
    </xf>
    <xf numFmtId="0" fontId="1" fillId="0" borderId="64" xfId="0" applyFont="1" applyFill="1" applyBorder="1" applyAlignment="1" applyProtection="1">
      <alignment horizontal="center" wrapText="1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73" xfId="0" applyFill="1" applyBorder="1" applyAlignment="1" applyProtection="1">
      <alignment horizontal="left"/>
      <protection locked="0"/>
    </xf>
    <xf numFmtId="0" fontId="0" fillId="6" borderId="4" xfId="0" applyFill="1" applyBorder="1" applyAlignment="1" applyProtection="1">
      <alignment horizontal="left"/>
      <protection locked="0"/>
    </xf>
    <xf numFmtId="0" fontId="11" fillId="0" borderId="74" xfId="0" applyFont="1" applyFill="1" applyBorder="1" applyAlignment="1" applyProtection="1">
      <alignment horizontal="center" vertical="center"/>
      <protection hidden="1"/>
    </xf>
    <xf numFmtId="0" fontId="11" fillId="0" borderId="75" xfId="0" applyFont="1" applyFill="1" applyBorder="1" applyAlignment="1" applyProtection="1">
      <alignment horizontal="center" vertical="center"/>
      <protection hidden="1"/>
    </xf>
    <xf numFmtId="0" fontId="1" fillId="4" borderId="76" xfId="0" applyFont="1" applyFill="1" applyBorder="1" applyAlignment="1" applyProtection="1">
      <alignment horizontal="left" vertical="center"/>
      <protection locked="0"/>
    </xf>
    <xf numFmtId="0" fontId="1" fillId="4" borderId="77" xfId="0" applyFont="1" applyFill="1" applyBorder="1" applyAlignment="1" applyProtection="1">
      <alignment horizontal="left" vertical="center"/>
      <protection locked="0"/>
    </xf>
    <xf numFmtId="0" fontId="1" fillId="4" borderId="78" xfId="0" applyFont="1" applyFill="1" applyBorder="1" applyAlignment="1" applyProtection="1">
      <alignment horizontal="left" vertical="center"/>
      <protection locked="0"/>
    </xf>
    <xf numFmtId="0" fontId="1" fillId="0" borderId="73" xfId="0" applyFont="1" applyFill="1" applyBorder="1" applyAlignment="1" applyProtection="1">
      <alignment horizontal="center" wrapText="1"/>
      <protection hidden="1"/>
    </xf>
    <xf numFmtId="0" fontId="0" fillId="4" borderId="4" xfId="0" applyFill="1" applyBorder="1" applyAlignment="1" applyProtection="1">
      <alignment horizontal="center"/>
      <protection locked="0"/>
    </xf>
    <xf numFmtId="0" fontId="0" fillId="0" borderId="73" xfId="0" applyFill="1" applyBorder="1" applyAlignment="1" applyProtection="1">
      <alignment horizontal="center" wrapText="1"/>
      <protection hidden="1"/>
    </xf>
    <xf numFmtId="0" fontId="0" fillId="0" borderId="4" xfId="0" applyFill="1" applyBorder="1" applyAlignment="1" applyProtection="1">
      <alignment horizontal="center" wrapText="1"/>
      <protection hidden="1"/>
    </xf>
    <xf numFmtId="0" fontId="0" fillId="0" borderId="64" xfId="0" applyFill="1" applyBorder="1" applyAlignment="1" applyProtection="1">
      <alignment horizontal="center" wrapText="1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164" fontId="5" fillId="3" borderId="66" xfId="0" applyNumberFormat="1" applyFont="1" applyFill="1" applyBorder="1" applyAlignment="1" applyProtection="1">
      <alignment horizontal="center"/>
      <protection hidden="1"/>
    </xf>
    <xf numFmtId="164" fontId="5" fillId="3" borderId="79" xfId="0" applyNumberFormat="1" applyFont="1" applyFill="1" applyBorder="1" applyAlignment="1" applyProtection="1">
      <alignment horizontal="center"/>
      <protection hidden="1"/>
    </xf>
    <xf numFmtId="0" fontId="0" fillId="6" borderId="73" xfId="0" applyFill="1" applyBorder="1" applyAlignment="1" applyProtection="1">
      <alignment horizontal="center" wrapText="1"/>
      <protection locked="0"/>
    </xf>
    <xf numFmtId="0" fontId="0" fillId="6" borderId="4" xfId="0" applyFill="1" applyBorder="1" applyAlignment="1" applyProtection="1">
      <alignment horizontal="center" wrapText="1"/>
      <protection locked="0"/>
    </xf>
    <xf numFmtId="0" fontId="8" fillId="0" borderId="80" xfId="0" applyFont="1" applyBorder="1" applyAlignment="1" applyProtection="1">
      <alignment horizontal="right"/>
      <protection hidden="1"/>
    </xf>
    <xf numFmtId="0" fontId="8" fillId="0" borderId="70" xfId="0" applyFont="1" applyBorder="1" applyAlignment="1" applyProtection="1">
      <alignment horizontal="right"/>
      <protection hidden="1"/>
    </xf>
    <xf numFmtId="0" fontId="0" fillId="0" borderId="81" xfId="0" applyBorder="1" applyAlignment="1" applyProtection="1">
      <alignment horizontal="center"/>
      <protection hidden="1"/>
    </xf>
    <xf numFmtId="0" fontId="0" fillId="0" borderId="32" xfId="0" applyFill="1" applyBorder="1" applyAlignment="1" applyProtection="1">
      <alignment horizontal="center"/>
      <protection locked="0"/>
    </xf>
    <xf numFmtId="0" fontId="1" fillId="0" borderId="74" xfId="0" applyFont="1" applyFill="1" applyBorder="1" applyAlignment="1" applyProtection="1">
      <alignment horizontal="center" vertical="center" wrapText="1"/>
      <protection hidden="1"/>
    </xf>
    <xf numFmtId="0" fontId="1" fillId="0" borderId="75" xfId="0" applyFont="1" applyFill="1" applyBorder="1" applyAlignment="1" applyProtection="1">
      <alignment horizontal="center" vertical="center" wrapText="1"/>
      <protection hidden="1"/>
    </xf>
    <xf numFmtId="0" fontId="1" fillId="0" borderId="80" xfId="0" applyFont="1" applyFill="1" applyBorder="1" applyAlignment="1" applyProtection="1">
      <alignment horizontal="center" vertical="center" wrapText="1"/>
      <protection hidden="1"/>
    </xf>
    <xf numFmtId="0" fontId="1" fillId="0" borderId="70" xfId="0" applyFont="1" applyFill="1" applyBorder="1" applyAlignment="1" applyProtection="1">
      <alignment horizontal="center" vertical="center" wrapText="1"/>
      <protection hidden="1"/>
    </xf>
    <xf numFmtId="0" fontId="0" fillId="0" borderId="82" xfId="0" applyFill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164" fontId="5" fillId="0" borderId="83" xfId="0" applyNumberFormat="1" applyFont="1" applyFill="1" applyBorder="1" applyAlignment="1" applyProtection="1">
      <alignment horizontal="center"/>
      <protection hidden="1"/>
    </xf>
    <xf numFmtId="0" fontId="0" fillId="0" borderId="75" xfId="0" applyFill="1" applyBorder="1" applyAlignment="1" applyProtection="1">
      <alignment horizontal="center"/>
      <protection hidden="1"/>
    </xf>
    <xf numFmtId="164" fontId="0" fillId="3" borderId="75" xfId="0" applyNumberFormat="1" applyFill="1" applyBorder="1" applyAlignment="1" applyProtection="1">
      <alignment horizontal="center"/>
      <protection hidden="1"/>
    </xf>
    <xf numFmtId="164" fontId="0" fillId="3" borderId="84" xfId="0" applyNumberFormat="1" applyFill="1" applyBorder="1" applyAlignment="1" applyProtection="1">
      <alignment horizontal="center"/>
      <protection hidden="1"/>
    </xf>
    <xf numFmtId="0" fontId="0" fillId="0" borderId="70" xfId="0" applyFill="1" applyBorder="1" applyAlignment="1" applyProtection="1">
      <alignment horizontal="center"/>
      <protection hidden="1"/>
    </xf>
    <xf numFmtId="0" fontId="1" fillId="0" borderId="85" xfId="0" applyFont="1" applyFill="1" applyBorder="1" applyAlignment="1" applyProtection="1">
      <alignment horizontal="center"/>
      <protection hidden="1"/>
    </xf>
    <xf numFmtId="0" fontId="1" fillId="0" borderId="86" xfId="0" applyFont="1" applyFill="1" applyBorder="1" applyAlignment="1" applyProtection="1">
      <alignment horizontal="center"/>
      <protection hidden="1"/>
    </xf>
    <xf numFmtId="164" fontId="0" fillId="3" borderId="70" xfId="0" applyNumberFormat="1" applyFill="1" applyBorder="1" applyAlignment="1" applyProtection="1">
      <alignment horizontal="center"/>
      <protection hidden="1"/>
    </xf>
    <xf numFmtId="164" fontId="0" fillId="3" borderId="71" xfId="0" applyNumberForma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right"/>
      <protection hidden="1"/>
    </xf>
    <xf numFmtId="0" fontId="1" fillId="0" borderId="12" xfId="0" applyFont="1" applyFill="1" applyBorder="1" applyAlignment="1" applyProtection="1">
      <alignment horizontal="right"/>
      <protection hidden="1"/>
    </xf>
    <xf numFmtId="49" fontId="0" fillId="4" borderId="10" xfId="0" applyNumberFormat="1" applyFill="1" applyBorder="1" applyAlignment="1" applyProtection="1">
      <alignment horizontal="left" indent="1"/>
      <protection locked="0"/>
    </xf>
    <xf numFmtId="49" fontId="0" fillId="4" borderId="87" xfId="0" applyNumberFormat="1" applyFill="1" applyBorder="1" applyAlignment="1" applyProtection="1">
      <alignment horizontal="left" indent="1"/>
      <protection locked="0"/>
    </xf>
    <xf numFmtId="0" fontId="1" fillId="0" borderId="3" xfId="0" applyFont="1" applyFill="1" applyBorder="1" applyAlignment="1" applyProtection="1">
      <alignment horizontal="right"/>
      <protection hidden="1"/>
    </xf>
    <xf numFmtId="14" fontId="0" fillId="4" borderId="88" xfId="0" applyNumberFormat="1" applyFill="1" applyBorder="1" applyAlignment="1" applyProtection="1">
      <alignment horizontal="left"/>
      <protection locked="0"/>
    </xf>
    <xf numFmtId="14" fontId="0" fillId="4" borderId="89" xfId="0" applyNumberFormat="1" applyFill="1" applyBorder="1" applyAlignment="1" applyProtection="1">
      <alignment horizontal="left"/>
      <protection locked="0"/>
    </xf>
    <xf numFmtId="1" fontId="0" fillId="3" borderId="19" xfId="0" applyNumberFormat="1" applyFill="1" applyBorder="1" applyAlignment="1" applyProtection="1">
      <alignment horizontal="center"/>
      <protection hidden="1"/>
    </xf>
    <xf numFmtId="1" fontId="0" fillId="3" borderId="38" xfId="0" applyNumberFormat="1" applyFill="1" applyBorder="1" applyAlignment="1" applyProtection="1">
      <alignment horizontal="center"/>
      <protection hidden="1"/>
    </xf>
    <xf numFmtId="1" fontId="0" fillId="3" borderId="89" xfId="0" applyNumberFormat="1" applyFill="1" applyBorder="1" applyAlignment="1" applyProtection="1">
      <alignment horizontal="center"/>
      <protection hidden="1"/>
    </xf>
    <xf numFmtId="14" fontId="0" fillId="4" borderId="19" xfId="0" applyNumberFormat="1" applyFill="1" applyBorder="1" applyAlignment="1" applyProtection="1">
      <alignment horizontal="right"/>
      <protection locked="0"/>
    </xf>
    <xf numFmtId="14" fontId="0" fillId="4" borderId="90" xfId="0" applyNumberFormat="1" applyFill="1" applyBorder="1" applyAlignment="1" applyProtection="1">
      <alignment horizontal="right"/>
      <protection locked="0"/>
    </xf>
    <xf numFmtId="0" fontId="0" fillId="6" borderId="72" xfId="0" applyFill="1" applyBorder="1" applyAlignment="1" applyProtection="1">
      <alignment horizontal="center" wrapText="1"/>
      <protection locked="0"/>
    </xf>
    <xf numFmtId="0" fontId="0" fillId="6" borderId="38" xfId="0" applyFill="1" applyBorder="1" applyAlignment="1" applyProtection="1">
      <alignment horizontal="center" wrapText="1"/>
      <protection locked="0"/>
    </xf>
    <xf numFmtId="0" fontId="0" fillId="6" borderId="39" xfId="0" applyFill="1" applyBorder="1" applyAlignment="1" applyProtection="1">
      <alignment horizontal="center" wrapText="1"/>
      <protection locked="0"/>
    </xf>
    <xf numFmtId="0" fontId="1" fillId="0" borderId="64" xfId="0" applyFont="1" applyFill="1" applyBorder="1" applyAlignment="1" applyProtection="1">
      <alignment horizontal="center"/>
      <protection hidden="1"/>
    </xf>
    <xf numFmtId="0" fontId="8" fillId="0" borderId="74" xfId="0" applyFont="1" applyBorder="1" applyAlignment="1" applyProtection="1">
      <alignment horizontal="center"/>
      <protection hidden="1"/>
    </xf>
    <xf numFmtId="0" fontId="8" fillId="0" borderId="75" xfId="0" applyFont="1" applyBorder="1" applyAlignment="1" applyProtection="1">
      <alignment horizontal="center"/>
      <protection hidden="1"/>
    </xf>
    <xf numFmtId="0" fontId="1" fillId="0" borderId="73" xfId="0" applyFont="1" applyBorder="1" applyAlignment="1" applyProtection="1">
      <alignment horizontal="center" vertical="center" wrapText="1"/>
      <protection hidden="1"/>
    </xf>
    <xf numFmtId="0" fontId="1" fillId="0" borderId="91" xfId="0" applyFont="1" applyBorder="1" applyAlignment="1" applyProtection="1">
      <alignment horizontal="center" vertical="center" wrapText="1"/>
      <protection hidden="1"/>
    </xf>
    <xf numFmtId="0" fontId="1" fillId="0" borderId="59" xfId="0" applyFont="1" applyBorder="1" applyAlignment="1" applyProtection="1">
      <alignment horizontal="center" vertical="center" wrapText="1"/>
      <protection hidden="1"/>
    </xf>
    <xf numFmtId="0" fontId="1" fillId="0" borderId="92" xfId="0" applyFont="1" applyBorder="1" applyAlignment="1" applyProtection="1">
      <alignment horizontal="center" vertical="center" wrapText="1"/>
      <protection hidden="1"/>
    </xf>
    <xf numFmtId="0" fontId="1" fillId="0" borderId="93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94" xfId="0" applyFont="1" applyBorder="1" applyAlignment="1" applyProtection="1">
      <alignment horizontal="center" vertical="center" wrapText="1"/>
      <protection hidden="1"/>
    </xf>
    <xf numFmtId="0" fontId="1" fillId="0" borderId="95" xfId="0" applyFont="1" applyBorder="1" applyAlignment="1" applyProtection="1">
      <alignment horizontal="center" vertical="center" wrapText="1"/>
      <protection hidden="1"/>
    </xf>
    <xf numFmtId="0" fontId="1" fillId="0" borderId="96" xfId="0" applyFont="1" applyBorder="1" applyAlignment="1" applyProtection="1">
      <alignment horizontal="center" vertical="center" wrapText="1"/>
      <protection hidden="1"/>
    </xf>
    <xf numFmtId="0" fontId="1" fillId="0" borderId="97" xfId="0" applyFont="1" applyBorder="1" applyAlignment="1" applyProtection="1">
      <alignment horizontal="center" vertical="center" wrapText="1"/>
      <protection hidden="1"/>
    </xf>
    <xf numFmtId="0" fontId="1" fillId="0" borderId="91" xfId="0" applyFont="1" applyFill="1" applyBorder="1" applyAlignment="1" applyProtection="1">
      <alignment horizontal="center" vertical="center" wrapText="1"/>
      <protection hidden="1"/>
    </xf>
    <xf numFmtId="0" fontId="1" fillId="0" borderId="59" xfId="0" applyFont="1" applyFill="1" applyBorder="1" applyAlignment="1" applyProtection="1">
      <alignment horizontal="center" vertical="center" wrapText="1"/>
      <protection hidden="1"/>
    </xf>
    <xf numFmtId="0" fontId="1" fillId="0" borderId="92" xfId="0" applyFont="1" applyFill="1" applyBorder="1" applyAlignment="1" applyProtection="1">
      <alignment horizontal="center" vertical="center" wrapText="1"/>
      <protection hidden="1"/>
    </xf>
    <xf numFmtId="0" fontId="1" fillId="0" borderId="9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94" xfId="0" applyFont="1" applyFill="1" applyBorder="1" applyAlignment="1" applyProtection="1">
      <alignment horizontal="center" vertical="center" wrapText="1"/>
      <protection hidden="1"/>
    </xf>
    <xf numFmtId="0" fontId="1" fillId="0" borderId="95" xfId="0" applyFont="1" applyFill="1" applyBorder="1" applyAlignment="1" applyProtection="1">
      <alignment horizontal="center" vertical="center" wrapText="1"/>
      <protection hidden="1"/>
    </xf>
    <xf numFmtId="0" fontId="1" fillId="0" borderId="96" xfId="0" applyFont="1" applyFill="1" applyBorder="1" applyAlignment="1" applyProtection="1">
      <alignment horizontal="center" vertical="center" wrapText="1"/>
      <protection hidden="1"/>
    </xf>
    <xf numFmtId="0" fontId="1" fillId="0" borderId="97" xfId="0" applyFont="1" applyFill="1" applyBorder="1" applyAlignment="1" applyProtection="1">
      <alignment horizontal="center" vertical="center" wrapText="1"/>
      <protection hidden="1"/>
    </xf>
    <xf numFmtId="0" fontId="0" fillId="0" borderId="7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64" xfId="0" applyFill="1" applyBorder="1" applyAlignment="1" applyProtection="1">
      <alignment horizontal="center"/>
      <protection hidden="1"/>
    </xf>
    <xf numFmtId="0" fontId="17" fillId="0" borderId="80" xfId="0" applyFont="1" applyFill="1" applyBorder="1" applyAlignment="1" applyProtection="1">
      <alignment horizontal="right"/>
      <protection hidden="1"/>
    </xf>
    <xf numFmtId="0" fontId="17" fillId="0" borderId="70" xfId="0" applyFont="1" applyFill="1" applyBorder="1" applyAlignment="1" applyProtection="1">
      <alignment horizontal="right"/>
      <protection hidden="1"/>
    </xf>
    <xf numFmtId="0" fontId="0" fillId="6" borderId="86" xfId="0" applyFont="1" applyFill="1" applyBorder="1" applyAlignment="1" applyProtection="1">
      <alignment horizontal="center"/>
      <protection locked="0"/>
    </xf>
    <xf numFmtId="0" fontId="0" fillId="6" borderId="98" xfId="0" applyFont="1" applyFill="1" applyBorder="1" applyAlignment="1" applyProtection="1">
      <alignment horizontal="center"/>
      <protection locked="0"/>
    </xf>
    <xf numFmtId="0" fontId="0" fillId="0" borderId="99" xfId="0" applyFill="1" applyBorder="1" applyAlignment="1" applyProtection="1">
      <alignment horizontal="center"/>
      <protection hidden="1"/>
    </xf>
    <xf numFmtId="14" fontId="0" fillId="4" borderId="53" xfId="0" applyNumberFormat="1" applyFill="1" applyBorder="1" applyAlignment="1" applyProtection="1">
      <alignment horizontal="center"/>
      <protection locked="0"/>
    </xf>
    <xf numFmtId="14" fontId="0" fillId="4" borderId="54" xfId="0" applyNumberFormat="1" applyFill="1" applyBorder="1" applyAlignment="1" applyProtection="1">
      <alignment horizontal="center"/>
      <protection locked="0"/>
    </xf>
    <xf numFmtId="14" fontId="0" fillId="4" borderId="55" xfId="0" applyNumberFormat="1" applyFill="1" applyBorder="1" applyAlignment="1" applyProtection="1">
      <alignment horizontal="center"/>
      <protection locked="0"/>
    </xf>
    <xf numFmtId="0" fontId="0" fillId="0" borderId="100" xfId="0" applyNumberFormat="1" applyFill="1" applyBorder="1" applyAlignment="1" applyProtection="1">
      <alignment horizontal="center"/>
      <protection hidden="1"/>
    </xf>
    <xf numFmtId="0" fontId="0" fillId="0" borderId="51" xfId="0" applyNumberFormat="1" applyFill="1" applyBorder="1" applyAlignment="1" applyProtection="1">
      <alignment horizontal="center"/>
      <protection hidden="1"/>
    </xf>
    <xf numFmtId="0" fontId="0" fillId="0" borderId="52" xfId="0" applyNumberFormat="1" applyFill="1" applyBorder="1" applyAlignment="1" applyProtection="1">
      <alignment horizontal="center"/>
      <protection hidden="1"/>
    </xf>
    <xf numFmtId="0" fontId="4" fillId="0" borderId="101" xfId="0" applyFont="1" applyFill="1" applyBorder="1" applyAlignment="1" applyProtection="1">
      <alignment horizontal="center" wrapText="1"/>
      <protection hidden="1"/>
    </xf>
    <xf numFmtId="0" fontId="4" fillId="0" borderId="102" xfId="0" applyFont="1" applyFill="1" applyBorder="1" applyAlignment="1" applyProtection="1">
      <alignment horizontal="center" wrapText="1"/>
      <protection hidden="1"/>
    </xf>
    <xf numFmtId="0" fontId="4" fillId="0" borderId="103" xfId="0" applyFont="1" applyFill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67" xfId="0" applyNumberFormat="1" applyFill="1" applyBorder="1" applyAlignment="1" applyProtection="1">
      <alignment horizontal="center"/>
      <protection hidden="1"/>
    </xf>
    <xf numFmtId="0" fontId="0" fillId="0" borderId="68" xfId="0" applyNumberFormat="1" applyFill="1" applyBorder="1" applyAlignment="1" applyProtection="1">
      <alignment horizontal="center"/>
      <protection hidden="1"/>
    </xf>
    <xf numFmtId="0" fontId="0" fillId="0" borderId="69" xfId="0" applyNumberFormat="1" applyFill="1" applyBorder="1" applyAlignment="1" applyProtection="1">
      <alignment horizontal="center"/>
      <protection hidden="1"/>
    </xf>
    <xf numFmtId="0" fontId="1" fillId="0" borderId="12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22" xfId="0" applyNumberFormat="1" applyFont="1" applyFill="1" applyBorder="1" applyAlignment="1" applyProtection="1">
      <alignment horizontal="center"/>
      <protection hidden="1"/>
    </xf>
    <xf numFmtId="0" fontId="1" fillId="0" borderId="3" xfId="0" applyNumberFormat="1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6" fillId="0" borderId="31" xfId="0" applyFont="1" applyFill="1" applyBorder="1" applyAlignment="1" applyProtection="1">
      <alignment horizontal="center" vertical="center"/>
      <protection hidden="1"/>
    </xf>
    <xf numFmtId="0" fontId="10" fillId="0" borderId="101" xfId="0" applyFont="1" applyFill="1" applyBorder="1" applyAlignment="1" applyProtection="1">
      <alignment horizontal="center"/>
      <protection hidden="1"/>
    </xf>
    <xf numFmtId="0" fontId="10" fillId="0" borderId="102" xfId="0" applyFont="1" applyFill="1" applyBorder="1" applyAlignment="1" applyProtection="1">
      <alignment horizontal="center"/>
      <protection hidden="1"/>
    </xf>
    <xf numFmtId="0" fontId="10" fillId="0" borderId="103" xfId="0" applyFont="1" applyFill="1" applyBorder="1" applyAlignment="1" applyProtection="1">
      <alignment horizontal="center"/>
      <protection hidden="1"/>
    </xf>
    <xf numFmtId="0" fontId="0" fillId="0" borderId="104" xfId="0" applyFill="1" applyBorder="1" applyAlignment="1" applyProtection="1">
      <alignment horizontal="center"/>
      <protection hidden="1"/>
    </xf>
    <xf numFmtId="14" fontId="0" fillId="0" borderId="12" xfId="0" applyNumberFormat="1" applyFill="1" applyBorder="1" applyAlignment="1" applyProtection="1">
      <alignment horizontal="center"/>
      <protection hidden="1"/>
    </xf>
    <xf numFmtId="14" fontId="0" fillId="0" borderId="2" xfId="0" applyNumberFormat="1" applyFill="1" applyBorder="1" applyAlignment="1" applyProtection="1">
      <alignment horizontal="center"/>
      <protection hidden="1"/>
    </xf>
    <xf numFmtId="14" fontId="0" fillId="0" borderId="3" xfId="0" applyNumberFormat="1" applyFill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38" xfId="0" applyFill="1" applyBorder="1" applyAlignment="1" applyProtection="1">
      <alignment horizontal="center" vertical="center"/>
      <protection locked="0"/>
    </xf>
    <xf numFmtId="0" fontId="0" fillId="6" borderId="39" xfId="0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center"/>
      <protection hidden="1"/>
    </xf>
    <xf numFmtId="0" fontId="0" fillId="0" borderId="105" xfId="0" applyBorder="1" applyAlignment="1" applyProtection="1">
      <alignment horizontal="center"/>
      <protection hidden="1"/>
    </xf>
    <xf numFmtId="0" fontId="0" fillId="0" borderId="106" xfId="0" applyBorder="1" applyAlignment="1" applyProtection="1">
      <alignment horizontal="center"/>
      <protection hidden="1"/>
    </xf>
    <xf numFmtId="0" fontId="0" fillId="0" borderId="107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13" fillId="0" borderId="12" xfId="0" applyFont="1" applyFill="1" applyBorder="1" applyAlignment="1" applyProtection="1">
      <alignment horizontal="center"/>
      <protection hidden="1"/>
    </xf>
    <xf numFmtId="0" fontId="13" fillId="0" borderId="2" xfId="0" applyFont="1" applyFill="1" applyBorder="1" applyAlignment="1" applyProtection="1">
      <alignment horizontal="center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5" fillId="0" borderId="5" xfId="0" applyFont="1" applyFill="1" applyBorder="1" applyAlignment="1" applyProtection="1">
      <alignment horizontal="center"/>
      <protection hidden="1"/>
    </xf>
    <xf numFmtId="164" fontId="5" fillId="0" borderId="5" xfId="0" applyNumberFormat="1" applyFont="1" applyFill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C0C0C0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strike/>
        <color rgb="FFDD0806"/>
      </font>
      <border/>
    </dxf>
    <dxf>
      <font>
        <b/>
        <i val="0"/>
        <strike/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35</xdr:row>
      <xdr:rowOff>85725</xdr:rowOff>
    </xdr:from>
    <xdr:to>
      <xdr:col>15</xdr:col>
      <xdr:colOff>114300</xdr:colOff>
      <xdr:row>35</xdr:row>
      <xdr:rowOff>85725</xdr:rowOff>
    </xdr:to>
    <xdr:sp>
      <xdr:nvSpPr>
        <xdr:cNvPr id="1" name="Line 8"/>
        <xdr:cNvSpPr>
          <a:spLocks/>
        </xdr:cNvSpPr>
      </xdr:nvSpPr>
      <xdr:spPr>
        <a:xfrm>
          <a:off x="5534025" y="72771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60</xdr:row>
      <xdr:rowOff>85725</xdr:rowOff>
    </xdr:from>
    <xdr:to>
      <xdr:col>15</xdr:col>
      <xdr:colOff>142875</xdr:colOff>
      <xdr:row>60</xdr:row>
      <xdr:rowOff>85725</xdr:rowOff>
    </xdr:to>
    <xdr:sp>
      <xdr:nvSpPr>
        <xdr:cNvPr id="2" name="Line 9"/>
        <xdr:cNvSpPr>
          <a:spLocks/>
        </xdr:cNvSpPr>
      </xdr:nvSpPr>
      <xdr:spPr>
        <a:xfrm>
          <a:off x="5534025" y="116967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85</xdr:row>
      <xdr:rowOff>85725</xdr:rowOff>
    </xdr:from>
    <xdr:to>
      <xdr:col>15</xdr:col>
      <xdr:colOff>114300</xdr:colOff>
      <xdr:row>85</xdr:row>
      <xdr:rowOff>85725</xdr:rowOff>
    </xdr:to>
    <xdr:sp>
      <xdr:nvSpPr>
        <xdr:cNvPr id="3" name="Line 11"/>
        <xdr:cNvSpPr>
          <a:spLocks/>
        </xdr:cNvSpPr>
      </xdr:nvSpPr>
      <xdr:spPr>
        <a:xfrm>
          <a:off x="5505450" y="161163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304800</xdr:colOff>
      <xdr:row>35</xdr:row>
      <xdr:rowOff>85725</xdr:rowOff>
    </xdr:from>
    <xdr:to>
      <xdr:col>18</xdr:col>
      <xdr:colOff>333375</xdr:colOff>
      <xdr:row>35</xdr:row>
      <xdr:rowOff>85725</xdr:rowOff>
    </xdr:to>
    <xdr:sp>
      <xdr:nvSpPr>
        <xdr:cNvPr id="4" name="Line 50"/>
        <xdr:cNvSpPr>
          <a:spLocks/>
        </xdr:cNvSpPr>
      </xdr:nvSpPr>
      <xdr:spPr>
        <a:xfrm>
          <a:off x="6591300" y="72771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304800</xdr:colOff>
      <xdr:row>60</xdr:row>
      <xdr:rowOff>85725</xdr:rowOff>
    </xdr:from>
    <xdr:to>
      <xdr:col>18</xdr:col>
      <xdr:colOff>333375</xdr:colOff>
      <xdr:row>60</xdr:row>
      <xdr:rowOff>85725</xdr:rowOff>
    </xdr:to>
    <xdr:sp>
      <xdr:nvSpPr>
        <xdr:cNvPr id="5" name="Line 66"/>
        <xdr:cNvSpPr>
          <a:spLocks/>
        </xdr:cNvSpPr>
      </xdr:nvSpPr>
      <xdr:spPr>
        <a:xfrm>
          <a:off x="6591300" y="116967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85</xdr:row>
      <xdr:rowOff>85725</xdr:rowOff>
    </xdr:from>
    <xdr:to>
      <xdr:col>15</xdr:col>
      <xdr:colOff>114300</xdr:colOff>
      <xdr:row>85</xdr:row>
      <xdr:rowOff>85725</xdr:rowOff>
    </xdr:to>
    <xdr:sp>
      <xdr:nvSpPr>
        <xdr:cNvPr id="6" name="Line 67"/>
        <xdr:cNvSpPr>
          <a:spLocks/>
        </xdr:cNvSpPr>
      </xdr:nvSpPr>
      <xdr:spPr>
        <a:xfrm>
          <a:off x="5534025" y="161163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85</xdr:row>
      <xdr:rowOff>85725</xdr:rowOff>
    </xdr:from>
    <xdr:to>
      <xdr:col>18</xdr:col>
      <xdr:colOff>276225</xdr:colOff>
      <xdr:row>85</xdr:row>
      <xdr:rowOff>85725</xdr:rowOff>
    </xdr:to>
    <xdr:sp>
      <xdr:nvSpPr>
        <xdr:cNvPr id="7" name="Line 68"/>
        <xdr:cNvSpPr>
          <a:spLocks/>
        </xdr:cNvSpPr>
      </xdr:nvSpPr>
      <xdr:spPr>
        <a:xfrm>
          <a:off x="6524625" y="161163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63"/>
  <sheetViews>
    <sheetView tabSelected="1" workbookViewId="0" topLeftCell="A1">
      <selection activeCell="R3" sqref="R3"/>
    </sheetView>
  </sheetViews>
  <sheetFormatPr defaultColWidth="9.140625" defaultRowHeight="12.75"/>
  <cols>
    <col min="1" max="1" width="2.140625" style="3" bestFit="1" customWidth="1"/>
    <col min="2" max="2" width="43.8515625" style="3" customWidth="1"/>
    <col min="3" max="3" width="5.421875" style="3" bestFit="1" customWidth="1"/>
    <col min="4" max="4" width="10.421875" style="3" bestFit="1" customWidth="1"/>
    <col min="5" max="5" width="9.421875" style="3" bestFit="1" customWidth="1"/>
    <col min="6" max="6" width="10.00390625" style="3" bestFit="1" customWidth="1"/>
    <col min="7" max="7" width="8.140625" style="3" bestFit="1" customWidth="1"/>
    <col min="8" max="8" width="50.00390625" style="3" bestFit="1" customWidth="1"/>
    <col min="9" max="9" width="48.421875" style="3" bestFit="1" customWidth="1"/>
    <col min="10" max="10" width="51.421875" style="3" bestFit="1" customWidth="1"/>
    <col min="11" max="11" width="48.00390625" style="3" bestFit="1" customWidth="1"/>
    <col min="12" max="12" width="60.421875" style="3" bestFit="1" customWidth="1"/>
    <col min="13" max="13" width="7.57421875" style="3" bestFit="1" customWidth="1"/>
    <col min="14" max="14" width="48.421875" style="3" bestFit="1" customWidth="1"/>
    <col min="15" max="15" width="5.57421875" style="3" bestFit="1" customWidth="1"/>
    <col min="16" max="16" width="51.421875" style="3" bestFit="1" customWidth="1"/>
    <col min="17" max="17" width="6.57421875" style="3" bestFit="1" customWidth="1"/>
    <col min="18" max="18" width="48.00390625" style="3" bestFit="1" customWidth="1"/>
    <col min="19" max="19" width="6.28125" style="3" bestFit="1" customWidth="1"/>
    <col min="20" max="58" width="50.7109375" style="3" customWidth="1"/>
    <col min="59" max="59" width="2.421875" style="3" bestFit="1" customWidth="1"/>
    <col min="60" max="86" width="50.7109375" style="3" customWidth="1"/>
    <col min="87" max="16384" width="50.7109375" style="80" customWidth="1"/>
  </cols>
  <sheetData>
    <row r="1" spans="1:86" s="79" customFormat="1" ht="25.5">
      <c r="A1" s="91" t="s">
        <v>18</v>
      </c>
      <c r="B1" s="44" t="s">
        <v>151</v>
      </c>
      <c r="C1" s="44" t="s">
        <v>45</v>
      </c>
      <c r="D1" s="44" t="s">
        <v>11</v>
      </c>
      <c r="E1" s="45" t="s">
        <v>125</v>
      </c>
      <c r="F1" s="113" t="s">
        <v>126</v>
      </c>
      <c r="G1" s="113"/>
      <c r="H1" s="37" t="s">
        <v>127</v>
      </c>
      <c r="I1" s="46" t="s">
        <v>134</v>
      </c>
      <c r="J1" s="26" t="s">
        <v>128</v>
      </c>
      <c r="K1" s="26" t="s">
        <v>129</v>
      </c>
      <c r="L1" s="112" t="s">
        <v>130</v>
      </c>
      <c r="M1" s="112"/>
      <c r="N1" s="114" t="s">
        <v>131</v>
      </c>
      <c r="O1" s="114"/>
      <c r="P1" s="111" t="s">
        <v>132</v>
      </c>
      <c r="Q1" s="111"/>
      <c r="R1" s="111" t="s">
        <v>133</v>
      </c>
      <c r="S1" s="111"/>
      <c r="T1" s="61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1" t="s">
        <v>121</v>
      </c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</row>
    <row r="2" spans="1:20" ht="12.75">
      <c r="A2" s="92" t="s">
        <v>18</v>
      </c>
      <c r="B2" s="47" t="s">
        <v>152</v>
      </c>
      <c r="C2" s="47" t="s">
        <v>46</v>
      </c>
      <c r="D2" s="47" t="s">
        <v>47</v>
      </c>
      <c r="E2" s="48" t="s">
        <v>0</v>
      </c>
      <c r="F2" s="49" t="s">
        <v>0</v>
      </c>
      <c r="G2" s="50">
        <v>9840</v>
      </c>
      <c r="H2" s="51" t="s">
        <v>50</v>
      </c>
      <c r="I2" s="52" t="s">
        <v>60</v>
      </c>
      <c r="J2" s="53" t="s">
        <v>154</v>
      </c>
      <c r="K2" s="53" t="s">
        <v>42</v>
      </c>
      <c r="L2" s="51" t="s">
        <v>19</v>
      </c>
      <c r="M2" s="54">
        <v>1.58</v>
      </c>
      <c r="N2" s="52" t="s">
        <v>60</v>
      </c>
      <c r="O2" s="55">
        <v>5.79</v>
      </c>
      <c r="P2" s="53" t="s">
        <v>154</v>
      </c>
      <c r="Q2" s="56">
        <v>1.25</v>
      </c>
      <c r="R2" s="53" t="s">
        <v>42</v>
      </c>
      <c r="S2" s="62" t="s">
        <v>4</v>
      </c>
      <c r="T2" s="18"/>
    </row>
    <row r="3" spans="1:20" ht="12.75">
      <c r="A3" s="93"/>
      <c r="B3" s="47" t="s">
        <v>153</v>
      </c>
      <c r="C3" s="47" t="s">
        <v>45</v>
      </c>
      <c r="D3" s="47" t="s">
        <v>48</v>
      </c>
      <c r="E3" s="48" t="s">
        <v>1</v>
      </c>
      <c r="F3" s="49" t="s">
        <v>1</v>
      </c>
      <c r="G3" s="50">
        <v>9840</v>
      </c>
      <c r="H3" s="51" t="s">
        <v>51</v>
      </c>
      <c r="I3" s="52" t="s">
        <v>61</v>
      </c>
      <c r="J3" s="53" t="s">
        <v>44</v>
      </c>
      <c r="K3" s="53" t="s">
        <v>43</v>
      </c>
      <c r="L3" s="51" t="s">
        <v>20</v>
      </c>
      <c r="M3" s="54">
        <v>39.5</v>
      </c>
      <c r="N3" s="52" t="s">
        <v>61</v>
      </c>
      <c r="O3" s="55">
        <v>6.2</v>
      </c>
      <c r="P3" s="53" t="s">
        <v>44</v>
      </c>
      <c r="Q3" s="56">
        <v>18.73</v>
      </c>
      <c r="R3" s="53" t="s">
        <v>43</v>
      </c>
      <c r="S3" s="56" t="s">
        <v>4</v>
      </c>
      <c r="T3" s="18"/>
    </row>
    <row r="4" spans="2:19" ht="12.75">
      <c r="B4" s="24"/>
      <c r="C4" s="24"/>
      <c r="D4" s="47" t="s">
        <v>49</v>
      </c>
      <c r="E4" s="48" t="s">
        <v>2</v>
      </c>
      <c r="F4" s="49" t="s">
        <v>2</v>
      </c>
      <c r="G4" s="50">
        <v>17760</v>
      </c>
      <c r="H4" s="51" t="s">
        <v>52</v>
      </c>
      <c r="I4" s="52" t="s">
        <v>62</v>
      </c>
      <c r="J4" s="24"/>
      <c r="K4" s="43"/>
      <c r="L4" s="51" t="s">
        <v>21</v>
      </c>
      <c r="M4" s="54">
        <v>1.19</v>
      </c>
      <c r="N4" s="52" t="s">
        <v>62</v>
      </c>
      <c r="O4" s="55">
        <v>6.77</v>
      </c>
      <c r="P4" s="57"/>
      <c r="Q4" s="24"/>
      <c r="R4" s="57"/>
      <c r="S4" s="24"/>
    </row>
    <row r="5" spans="4:18" ht="12.75">
      <c r="D5" s="24"/>
      <c r="E5" s="48" t="s">
        <v>3</v>
      </c>
      <c r="F5" s="49" t="s">
        <v>3</v>
      </c>
      <c r="G5" s="50">
        <v>29580</v>
      </c>
      <c r="H5" s="51" t="s">
        <v>55</v>
      </c>
      <c r="I5" s="52" t="s">
        <v>63</v>
      </c>
      <c r="K5" s="5"/>
      <c r="L5" s="51" t="s">
        <v>22</v>
      </c>
      <c r="M5" s="54">
        <v>29.56</v>
      </c>
      <c r="N5" s="52" t="s">
        <v>63</v>
      </c>
      <c r="O5" s="55">
        <v>7.53</v>
      </c>
      <c r="P5" s="18"/>
      <c r="R5" s="18"/>
    </row>
    <row r="6" spans="5:18" ht="12.75">
      <c r="E6" s="42"/>
      <c r="F6" s="42"/>
      <c r="G6" s="42"/>
      <c r="H6" s="58" t="s">
        <v>56</v>
      </c>
      <c r="I6" s="52" t="s">
        <v>66</v>
      </c>
      <c r="J6" s="5"/>
      <c r="K6" s="5"/>
      <c r="L6" s="51" t="s">
        <v>23</v>
      </c>
      <c r="M6" s="54">
        <v>2.84</v>
      </c>
      <c r="N6" s="52" t="s">
        <v>66</v>
      </c>
      <c r="O6" s="55">
        <v>5.79</v>
      </c>
      <c r="P6" s="18"/>
      <c r="R6" s="18"/>
    </row>
    <row r="7" spans="5:15" ht="12.75">
      <c r="E7" s="4"/>
      <c r="F7" s="4"/>
      <c r="G7" s="4"/>
      <c r="H7" s="51" t="s">
        <v>57</v>
      </c>
      <c r="I7" s="52" t="s">
        <v>65</v>
      </c>
      <c r="J7" s="5"/>
      <c r="K7" s="5"/>
      <c r="L7" s="51" t="s">
        <v>24</v>
      </c>
      <c r="M7" s="54">
        <v>71</v>
      </c>
      <c r="N7" s="52" t="s">
        <v>65</v>
      </c>
      <c r="O7" s="55">
        <v>6.2</v>
      </c>
    </row>
    <row r="8" spans="5:15" ht="12.75">
      <c r="E8" s="4"/>
      <c r="F8" s="4"/>
      <c r="G8" s="4"/>
      <c r="H8" s="51" t="s">
        <v>98</v>
      </c>
      <c r="I8" s="52" t="s">
        <v>64</v>
      </c>
      <c r="J8" s="5"/>
      <c r="K8" s="5"/>
      <c r="L8" s="51" t="s">
        <v>25</v>
      </c>
      <c r="M8" s="54">
        <v>4.73</v>
      </c>
      <c r="N8" s="52" t="s">
        <v>64</v>
      </c>
      <c r="O8" s="55">
        <v>6.77</v>
      </c>
    </row>
    <row r="9" spans="5:15" ht="12.75">
      <c r="E9" s="4"/>
      <c r="F9" s="4"/>
      <c r="G9" s="4"/>
      <c r="H9" s="51" t="s">
        <v>99</v>
      </c>
      <c r="I9" s="52" t="s">
        <v>67</v>
      </c>
      <c r="J9" s="5"/>
      <c r="K9" s="5"/>
      <c r="L9" s="51" t="s">
        <v>26</v>
      </c>
      <c r="M9" s="54">
        <v>118.25</v>
      </c>
      <c r="N9" s="52" t="s">
        <v>67</v>
      </c>
      <c r="O9" s="55">
        <v>7.53</v>
      </c>
    </row>
    <row r="10" spans="5:15" ht="12.75">
      <c r="E10" s="4"/>
      <c r="F10" s="4"/>
      <c r="G10" s="4"/>
      <c r="H10" s="43"/>
      <c r="I10" s="43"/>
      <c r="J10" s="5"/>
      <c r="K10" s="5"/>
      <c r="L10" s="51" t="s">
        <v>27</v>
      </c>
      <c r="M10" s="54">
        <v>1.58</v>
      </c>
      <c r="N10" s="57"/>
      <c r="O10" s="24"/>
    </row>
    <row r="11" spans="1:14" ht="12.75">
      <c r="A11" s="63"/>
      <c r="B11" s="63"/>
      <c r="E11" s="15"/>
      <c r="F11" s="15"/>
      <c r="G11" s="15"/>
      <c r="H11" s="5"/>
      <c r="I11" s="5"/>
      <c r="J11" s="5"/>
      <c r="K11" s="5"/>
      <c r="L11" s="51" t="s">
        <v>28</v>
      </c>
      <c r="M11" s="54">
        <v>39.5</v>
      </c>
      <c r="N11" s="18"/>
    </row>
    <row r="12" spans="1:14" ht="12.75">
      <c r="A12" s="63"/>
      <c r="B12" s="63"/>
      <c r="D12" s="15"/>
      <c r="E12" s="4"/>
      <c r="F12" s="4"/>
      <c r="G12" s="4"/>
      <c r="H12" s="5"/>
      <c r="I12" s="5"/>
      <c r="J12" s="5"/>
      <c r="K12" s="5"/>
      <c r="L12" s="51" t="s">
        <v>29</v>
      </c>
      <c r="M12" s="54">
        <v>1.19</v>
      </c>
      <c r="N12" s="18"/>
    </row>
    <row r="13" spans="1:17" ht="12.75">
      <c r="A13" s="63"/>
      <c r="B13" s="63"/>
      <c r="D13" s="15"/>
      <c r="E13" s="4"/>
      <c r="F13" s="4"/>
      <c r="G13" s="4"/>
      <c r="H13" s="5"/>
      <c r="I13" s="5"/>
      <c r="J13" s="8"/>
      <c r="K13" s="5"/>
      <c r="L13" s="51" t="s">
        <v>30</v>
      </c>
      <c r="M13" s="54">
        <v>29.56</v>
      </c>
      <c r="N13" s="18"/>
      <c r="P13" s="15"/>
      <c r="Q13" s="15"/>
    </row>
    <row r="14" spans="1:17" ht="12.75">
      <c r="A14" s="63"/>
      <c r="B14" s="63"/>
      <c r="E14" s="4"/>
      <c r="F14" s="4"/>
      <c r="G14" s="4"/>
      <c r="H14" s="5"/>
      <c r="I14" s="5"/>
      <c r="J14" s="5"/>
      <c r="K14" s="5"/>
      <c r="L14" s="51" t="s">
        <v>110</v>
      </c>
      <c r="M14" s="54">
        <v>2.84</v>
      </c>
      <c r="N14" s="18"/>
      <c r="P14" s="15"/>
      <c r="Q14" s="15"/>
    </row>
    <row r="15" spans="1:14" ht="12.75">
      <c r="A15" s="63"/>
      <c r="B15" s="63"/>
      <c r="E15" s="4"/>
      <c r="F15" s="4"/>
      <c r="G15" s="4"/>
      <c r="H15" s="5"/>
      <c r="I15" s="5"/>
      <c r="J15" s="5"/>
      <c r="K15" s="5"/>
      <c r="L15" s="51" t="s">
        <v>31</v>
      </c>
      <c r="M15" s="54">
        <v>71</v>
      </c>
      <c r="N15" s="18"/>
    </row>
    <row r="16" spans="5:14" ht="12.75">
      <c r="E16" s="4"/>
      <c r="F16" s="4"/>
      <c r="G16" s="4"/>
      <c r="H16" s="5"/>
      <c r="I16" s="5"/>
      <c r="J16" s="5"/>
      <c r="K16" s="5"/>
      <c r="L16" s="51" t="s">
        <v>32</v>
      </c>
      <c r="M16" s="54">
        <v>4.73</v>
      </c>
      <c r="N16" s="18"/>
    </row>
    <row r="17" spans="1:14" ht="12.75">
      <c r="A17" s="15"/>
      <c r="B17" s="15"/>
      <c r="C17" s="15"/>
      <c r="E17" s="4"/>
      <c r="F17" s="4"/>
      <c r="G17" s="4"/>
      <c r="H17" s="5"/>
      <c r="I17" s="5"/>
      <c r="J17" s="5"/>
      <c r="K17" s="8"/>
      <c r="L17" s="51" t="s">
        <v>33</v>
      </c>
      <c r="M17" s="54">
        <v>118.25</v>
      </c>
      <c r="N17" s="18"/>
    </row>
    <row r="18" spans="1:86" ht="12.75">
      <c r="A18" s="15"/>
      <c r="B18" s="15"/>
      <c r="C18" s="15"/>
      <c r="E18" s="4"/>
      <c r="F18" s="4"/>
      <c r="G18" s="4"/>
      <c r="H18" s="5"/>
      <c r="I18" s="5"/>
      <c r="J18" s="5"/>
      <c r="K18" s="5"/>
      <c r="L18" s="58" t="s">
        <v>34</v>
      </c>
      <c r="M18" s="60">
        <v>1.58</v>
      </c>
      <c r="N18" s="59"/>
      <c r="O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</row>
    <row r="19" spans="5:86" ht="12.75">
      <c r="E19" s="4"/>
      <c r="F19" s="4"/>
      <c r="G19" s="4"/>
      <c r="H19" s="5"/>
      <c r="I19" s="5"/>
      <c r="J19" s="5"/>
      <c r="K19" s="5"/>
      <c r="L19" s="51" t="s">
        <v>35</v>
      </c>
      <c r="M19" s="54">
        <v>39.5</v>
      </c>
      <c r="N19" s="59"/>
      <c r="O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</row>
    <row r="20" spans="5:14" ht="12.75">
      <c r="E20" s="4"/>
      <c r="F20" s="4"/>
      <c r="G20" s="4"/>
      <c r="H20" s="5"/>
      <c r="I20" s="5"/>
      <c r="J20" s="5"/>
      <c r="K20" s="5"/>
      <c r="L20" s="51" t="s">
        <v>36</v>
      </c>
      <c r="M20" s="54">
        <v>1.19</v>
      </c>
      <c r="N20" s="18"/>
    </row>
    <row r="21" spans="5:14" ht="12.75">
      <c r="E21" s="4"/>
      <c r="F21" s="4"/>
      <c r="G21" s="4"/>
      <c r="H21" s="5"/>
      <c r="I21" s="5"/>
      <c r="J21" s="5"/>
      <c r="K21" s="5"/>
      <c r="L21" s="51" t="s">
        <v>37</v>
      </c>
      <c r="M21" s="54">
        <v>29.56</v>
      </c>
      <c r="N21" s="18"/>
    </row>
    <row r="22" spans="5:14" ht="12.75">
      <c r="E22" s="4"/>
      <c r="F22" s="4"/>
      <c r="G22" s="4"/>
      <c r="H22" s="5"/>
      <c r="I22" s="5"/>
      <c r="J22" s="5"/>
      <c r="K22" s="5"/>
      <c r="L22" s="51" t="s">
        <v>38</v>
      </c>
      <c r="M22" s="54">
        <v>2.84</v>
      </c>
      <c r="N22" s="18"/>
    </row>
    <row r="23" spans="5:14" ht="12.75">
      <c r="E23" s="4"/>
      <c r="F23" s="4"/>
      <c r="G23" s="4"/>
      <c r="H23" s="5"/>
      <c r="I23" s="5"/>
      <c r="J23" s="5"/>
      <c r="K23" s="5"/>
      <c r="L23" s="51" t="s">
        <v>39</v>
      </c>
      <c r="M23" s="54">
        <v>71</v>
      </c>
      <c r="N23" s="18"/>
    </row>
    <row r="24" spans="5:14" ht="12.75">
      <c r="E24" s="4"/>
      <c r="F24" s="4"/>
      <c r="G24" s="4"/>
      <c r="H24" s="5"/>
      <c r="I24" s="5"/>
      <c r="J24" s="5"/>
      <c r="K24" s="5"/>
      <c r="L24" s="51" t="s">
        <v>40</v>
      </c>
      <c r="M24" s="54">
        <v>4.73</v>
      </c>
      <c r="N24" s="18"/>
    </row>
    <row r="25" spans="5:14" ht="12.75">
      <c r="E25" s="4"/>
      <c r="F25" s="4"/>
      <c r="G25" s="4"/>
      <c r="H25" s="5"/>
      <c r="I25" s="5"/>
      <c r="J25" s="5"/>
      <c r="K25" s="5"/>
      <c r="L25" s="51" t="s">
        <v>41</v>
      </c>
      <c r="M25" s="54">
        <v>118.25</v>
      </c>
      <c r="N25" s="18"/>
    </row>
    <row r="26" spans="5:14" ht="12.75">
      <c r="E26" s="4"/>
      <c r="F26" s="4"/>
      <c r="G26" s="4"/>
      <c r="H26" s="5"/>
      <c r="I26" s="5"/>
      <c r="J26" s="5"/>
      <c r="K26" s="5"/>
      <c r="L26" s="51" t="s">
        <v>100</v>
      </c>
      <c r="M26" s="54">
        <v>1.38</v>
      </c>
      <c r="N26" s="18"/>
    </row>
    <row r="27" spans="5:14" ht="12.75">
      <c r="E27" s="4"/>
      <c r="F27" s="4"/>
      <c r="G27" s="4"/>
      <c r="H27" s="5"/>
      <c r="I27" s="5"/>
      <c r="J27" s="5"/>
      <c r="K27" s="5"/>
      <c r="L27" s="51" t="s">
        <v>101</v>
      </c>
      <c r="M27" s="54">
        <v>33.18</v>
      </c>
      <c r="N27" s="18"/>
    </row>
    <row r="28" spans="5:14" ht="12.75">
      <c r="E28" s="4"/>
      <c r="F28" s="4"/>
      <c r="G28" s="4"/>
      <c r="H28" s="5"/>
      <c r="I28" s="5"/>
      <c r="J28" s="5"/>
      <c r="K28" s="5"/>
      <c r="L28" s="51" t="s">
        <v>102</v>
      </c>
      <c r="M28" s="54">
        <v>1.04</v>
      </c>
      <c r="N28" s="18"/>
    </row>
    <row r="29" spans="5:14" ht="12.75">
      <c r="E29" s="4"/>
      <c r="F29" s="4"/>
      <c r="G29" s="4"/>
      <c r="H29" s="5"/>
      <c r="I29" s="5"/>
      <c r="J29" s="5"/>
      <c r="K29" s="5"/>
      <c r="L29" s="51" t="s">
        <v>103</v>
      </c>
      <c r="M29" s="54">
        <v>25.94</v>
      </c>
      <c r="N29" s="18"/>
    </row>
    <row r="30" spans="5:14" ht="12.75">
      <c r="E30" s="4"/>
      <c r="F30" s="4"/>
      <c r="G30" s="4"/>
      <c r="H30" s="5"/>
      <c r="I30" s="5"/>
      <c r="J30" s="5"/>
      <c r="K30" s="5"/>
      <c r="L30" s="51" t="s">
        <v>104</v>
      </c>
      <c r="M30" s="54">
        <v>2.49</v>
      </c>
      <c r="N30" s="18"/>
    </row>
    <row r="31" spans="5:14" ht="12.75">
      <c r="E31" s="4"/>
      <c r="F31" s="4"/>
      <c r="G31" s="4"/>
      <c r="H31" s="5"/>
      <c r="I31" s="5"/>
      <c r="J31" s="5"/>
      <c r="K31" s="5"/>
      <c r="L31" s="51" t="s">
        <v>105</v>
      </c>
      <c r="M31" s="54">
        <v>59.76</v>
      </c>
      <c r="N31" s="18"/>
    </row>
    <row r="32" spans="5:14" ht="12.75">
      <c r="E32" s="4"/>
      <c r="F32" s="4"/>
      <c r="G32" s="4"/>
      <c r="H32" s="5"/>
      <c r="I32" s="5"/>
      <c r="J32" s="5"/>
      <c r="K32" s="5"/>
      <c r="L32" s="51" t="s">
        <v>106</v>
      </c>
      <c r="M32" s="54">
        <v>4.15</v>
      </c>
      <c r="N32" s="18"/>
    </row>
    <row r="33" spans="5:14" ht="12.75">
      <c r="E33" s="4"/>
      <c r="F33" s="4"/>
      <c r="G33" s="4"/>
      <c r="H33" s="5"/>
      <c r="I33" s="5"/>
      <c r="J33" s="5"/>
      <c r="K33" s="5"/>
      <c r="L33" s="51" t="s">
        <v>107</v>
      </c>
      <c r="M33" s="54">
        <v>99.6</v>
      </c>
      <c r="N33" s="18"/>
    </row>
    <row r="34" spans="5:13" ht="12.75">
      <c r="E34" s="4"/>
      <c r="F34" s="4"/>
      <c r="G34" s="4"/>
      <c r="H34" s="5"/>
      <c r="I34" s="5"/>
      <c r="J34" s="5"/>
      <c r="K34" s="5"/>
      <c r="L34" s="24"/>
      <c r="M34" s="24"/>
    </row>
    <row r="35" spans="5:11" ht="12.75">
      <c r="E35" s="4"/>
      <c r="F35" s="4"/>
      <c r="G35" s="4"/>
      <c r="I35" s="5"/>
      <c r="J35" s="5"/>
      <c r="K35" s="5"/>
    </row>
    <row r="36" spans="5:11" ht="12.75">
      <c r="E36" s="4"/>
      <c r="F36" s="4"/>
      <c r="G36" s="4"/>
      <c r="I36" s="5"/>
      <c r="J36" s="5"/>
      <c r="K36" s="5"/>
    </row>
    <row r="37" spans="5:11" ht="12.75">
      <c r="E37" s="4"/>
      <c r="F37" s="4"/>
      <c r="G37" s="4"/>
      <c r="I37" s="5"/>
      <c r="J37" s="5"/>
      <c r="K37" s="5"/>
    </row>
    <row r="38" spans="5:11" ht="12.75">
      <c r="E38" s="4"/>
      <c r="F38" s="4"/>
      <c r="G38" s="4"/>
      <c r="J38" s="5"/>
      <c r="K38" s="5"/>
    </row>
    <row r="39" spans="5:11" ht="12.75">
      <c r="E39" s="4"/>
      <c r="F39" s="4"/>
      <c r="G39" s="4"/>
      <c r="J39" s="5"/>
      <c r="K39" s="5"/>
    </row>
    <row r="40" spans="5:11" ht="12.75">
      <c r="E40" s="4"/>
      <c r="F40" s="4"/>
      <c r="G40" s="4"/>
      <c r="J40" s="5"/>
      <c r="K40" s="5"/>
    </row>
    <row r="41" spans="5:11" ht="12.75">
      <c r="E41" s="4"/>
      <c r="F41" s="4"/>
      <c r="G41" s="4"/>
      <c r="J41" s="5"/>
      <c r="K41" s="5"/>
    </row>
    <row r="42" spans="10:11" ht="12.75">
      <c r="J42" s="5"/>
      <c r="K42" s="5"/>
    </row>
    <row r="43" spans="10:11" ht="12.75">
      <c r="J43" s="5"/>
      <c r="K43" s="5"/>
    </row>
    <row r="44" spans="10:11" ht="12.75">
      <c r="J44" s="5"/>
      <c r="K44" s="5"/>
    </row>
    <row r="45" ht="12.75">
      <c r="K45" s="5"/>
    </row>
    <row r="46" ht="12.75">
      <c r="K46" s="5"/>
    </row>
    <row r="47" ht="12.75">
      <c r="K47" s="5"/>
    </row>
    <row r="48" ht="12.75">
      <c r="K48" s="5"/>
    </row>
    <row r="72" spans="4:7" ht="12.75">
      <c r="D72" s="4"/>
      <c r="E72" s="4"/>
      <c r="F72" s="4"/>
      <c r="G72" s="4"/>
    </row>
    <row r="73" spans="16:17" ht="12.75">
      <c r="P73" s="4"/>
      <c r="Q73" s="4"/>
    </row>
    <row r="74" ht="12.75">
      <c r="J74" s="4"/>
    </row>
    <row r="75" ht="12.75">
      <c r="H75" s="4"/>
    </row>
    <row r="77" spans="1:11" ht="12.75">
      <c r="A77" s="4"/>
      <c r="B77" s="4"/>
      <c r="C77" s="4"/>
      <c r="I77" s="4"/>
      <c r="K77" s="4"/>
    </row>
    <row r="78" spans="14:86" ht="12.75">
      <c r="N78" s="4"/>
      <c r="O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</row>
    <row r="79" spans="12:13" ht="12.75">
      <c r="L79" s="4"/>
      <c r="M79" s="4"/>
    </row>
    <row r="90" spans="1:3" ht="12.75">
      <c r="A90" s="2"/>
      <c r="B90" s="2"/>
      <c r="C90" s="2"/>
    </row>
    <row r="91" spans="1:3" ht="12.75">
      <c r="A91" s="2"/>
      <c r="B91" s="2"/>
      <c r="C91" s="2"/>
    </row>
    <row r="92" spans="1:3" ht="12.75">
      <c r="A92" s="2"/>
      <c r="B92" s="2"/>
      <c r="C92" s="2"/>
    </row>
    <row r="93" spans="1:3" ht="12.75">
      <c r="A93" s="2"/>
      <c r="B93" s="2"/>
      <c r="C93" s="2"/>
    </row>
    <row r="94" spans="1:3" ht="12.75">
      <c r="A94" s="2"/>
      <c r="B94" s="2"/>
      <c r="C94" s="2"/>
    </row>
    <row r="95" spans="1:3" ht="12.75">
      <c r="A95" s="2"/>
      <c r="B95" s="2"/>
      <c r="C95" s="2"/>
    </row>
    <row r="96" spans="1:3" ht="12.75">
      <c r="A96" s="2"/>
      <c r="B96" s="2"/>
      <c r="C96" s="2"/>
    </row>
    <row r="97" spans="1:3" ht="12.75">
      <c r="A97" s="2"/>
      <c r="B97" s="2"/>
      <c r="C97" s="2"/>
    </row>
    <row r="156" spans="4:7" ht="12.75">
      <c r="D156" s="27"/>
      <c r="E156" s="27"/>
      <c r="F156" s="27"/>
      <c r="G156" s="27"/>
    </row>
    <row r="157" spans="4:17" ht="12.75">
      <c r="D157" s="27"/>
      <c r="E157" s="27"/>
      <c r="F157" s="27"/>
      <c r="G157" s="27"/>
      <c r="P157" s="27"/>
      <c r="Q157" s="27"/>
    </row>
    <row r="158" spans="10:17" ht="12.75">
      <c r="J158" s="27"/>
      <c r="P158" s="27"/>
      <c r="Q158" s="27"/>
    </row>
    <row r="159" ht="12.75">
      <c r="J159" s="27"/>
    </row>
    <row r="161" spans="1:11" ht="12.75">
      <c r="A161" s="27"/>
      <c r="B161" s="27"/>
      <c r="C161" s="27"/>
      <c r="H161" s="27"/>
      <c r="I161" s="27"/>
      <c r="K161" s="27"/>
    </row>
    <row r="162" spans="1:86" ht="12.75">
      <c r="A162" s="27"/>
      <c r="B162" s="27"/>
      <c r="C162" s="27"/>
      <c r="H162" s="27"/>
      <c r="I162" s="27"/>
      <c r="K162" s="27"/>
      <c r="L162" s="27"/>
      <c r="M162" s="27"/>
      <c r="N162" s="27"/>
      <c r="O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</row>
    <row r="163" spans="12:86" ht="12.75">
      <c r="L163" s="27"/>
      <c r="M163" s="27"/>
      <c r="N163" s="27"/>
      <c r="O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</row>
  </sheetData>
  <mergeCells count="5">
    <mergeCell ref="R1:S1"/>
    <mergeCell ref="L1:M1"/>
    <mergeCell ref="F1:G1"/>
    <mergeCell ref="N1:O1"/>
    <mergeCell ref="P1:Q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206"/>
  <sheetViews>
    <sheetView workbookViewId="0" topLeftCell="A1">
      <selection activeCell="S7" sqref="S7:U7"/>
    </sheetView>
  </sheetViews>
  <sheetFormatPr defaultColWidth="9.140625" defaultRowHeight="12.75"/>
  <cols>
    <col min="1" max="18" width="6.28125" style="3" customWidth="1"/>
    <col min="19" max="19" width="6.28125" style="1" customWidth="1"/>
    <col min="20" max="21" width="6.28125" style="20" customWidth="1"/>
    <col min="22" max="22" width="2.00390625" style="20" bestFit="1" customWidth="1"/>
    <col min="23" max="23" width="59.00390625" style="4" hidden="1" customWidth="1"/>
    <col min="24" max="24" width="3.00390625" style="4" hidden="1" customWidth="1"/>
    <col min="25" max="25" width="7.00390625" style="4" hidden="1" customWidth="1"/>
    <col min="26" max="27" width="11.00390625" style="4" hidden="1" customWidth="1"/>
    <col min="28" max="30" width="5.7109375" style="4" hidden="1" customWidth="1"/>
    <col min="31" max="31" width="5.421875" style="4" hidden="1" customWidth="1"/>
    <col min="32" max="75" width="5.421875" style="3" hidden="1" customWidth="1"/>
    <col min="76" max="76" width="2.421875" style="3" hidden="1" customWidth="1"/>
    <col min="77" max="91" width="5.421875" style="3" hidden="1" customWidth="1"/>
    <col min="92" max="93" width="5.7109375" style="3" hidden="1" customWidth="1"/>
    <col min="94" max="94" width="0" style="3" hidden="1" customWidth="1"/>
    <col min="95" max="16384" width="5.7109375" style="3" hidden="1" customWidth="1"/>
  </cols>
  <sheetData>
    <row r="1" spans="1:94" ht="30" customHeight="1">
      <c r="A1" s="321" t="s">
        <v>150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3"/>
      <c r="BX1" s="36"/>
      <c r="CP1" s="65"/>
    </row>
    <row r="2" spans="1:21" ht="15" customHeight="1">
      <c r="A2" s="136"/>
      <c r="B2" s="138"/>
      <c r="C2" s="258" t="s">
        <v>72</v>
      </c>
      <c r="D2" s="259"/>
      <c r="E2" s="82"/>
      <c r="F2" s="161"/>
      <c r="G2" s="138"/>
      <c r="H2" s="258" t="s">
        <v>74</v>
      </c>
      <c r="I2" s="259"/>
      <c r="J2" s="84"/>
      <c r="K2" s="98"/>
      <c r="L2" s="262" t="s">
        <v>76</v>
      </c>
      <c r="M2" s="258"/>
      <c r="N2" s="258"/>
      <c r="O2" s="259"/>
      <c r="P2" s="84"/>
      <c r="Q2" s="327"/>
      <c r="R2" s="123"/>
      <c r="S2" s="123"/>
      <c r="T2" s="123"/>
      <c r="U2" s="124"/>
    </row>
    <row r="3" spans="1:31" s="2" customFormat="1" ht="6" customHeight="1">
      <c r="A3" s="1"/>
      <c r="B3" s="1"/>
      <c r="C3" s="87"/>
      <c r="D3" s="87"/>
      <c r="E3" s="88"/>
      <c r="F3" s="1"/>
      <c r="G3" s="1"/>
      <c r="H3" s="87"/>
      <c r="I3" s="87"/>
      <c r="J3" s="95"/>
      <c r="K3" s="97"/>
      <c r="L3" s="96"/>
      <c r="M3" s="87"/>
      <c r="N3" s="87"/>
      <c r="O3" s="87"/>
      <c r="P3" s="89"/>
      <c r="Q3" s="122"/>
      <c r="R3" s="123"/>
      <c r="S3" s="123"/>
      <c r="T3" s="123"/>
      <c r="U3" s="124"/>
      <c r="V3" s="94"/>
      <c r="W3" s="20"/>
      <c r="X3" s="20"/>
      <c r="Y3" s="20"/>
      <c r="Z3" s="20"/>
      <c r="AA3" s="20"/>
      <c r="AB3" s="20"/>
      <c r="AC3" s="20"/>
      <c r="AD3" s="20"/>
      <c r="AE3" s="20"/>
    </row>
    <row r="4" spans="1:23" ht="15" customHeight="1">
      <c r="A4" s="136"/>
      <c r="B4" s="138"/>
      <c r="C4" s="258" t="s">
        <v>73</v>
      </c>
      <c r="D4" s="259"/>
      <c r="E4" s="83"/>
      <c r="F4" s="161"/>
      <c r="G4" s="138"/>
      <c r="H4" s="258" t="s">
        <v>75</v>
      </c>
      <c r="I4" s="259"/>
      <c r="J4" s="84"/>
      <c r="K4" s="98"/>
      <c r="L4" s="90"/>
      <c r="M4" s="1"/>
      <c r="N4" s="258" t="s">
        <v>77</v>
      </c>
      <c r="O4" s="259"/>
      <c r="P4" s="334"/>
      <c r="Q4" s="335"/>
      <c r="R4" s="335"/>
      <c r="S4" s="335"/>
      <c r="T4" s="335"/>
      <c r="U4" s="336"/>
      <c r="V4" s="67"/>
      <c r="W4" s="81"/>
    </row>
    <row r="5" spans="1:31" s="2" customFormat="1" ht="15" customHeight="1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1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93" ht="24.75" customHeight="1">
      <c r="A6" s="258" t="s">
        <v>7</v>
      </c>
      <c r="B6" s="258"/>
      <c r="C6" s="260"/>
      <c r="D6" s="260"/>
      <c r="E6" s="260"/>
      <c r="F6" s="260"/>
      <c r="G6" s="260"/>
      <c r="H6" s="136"/>
      <c r="I6" s="138"/>
      <c r="J6" s="258" t="s">
        <v>8</v>
      </c>
      <c r="K6" s="258"/>
      <c r="L6" s="258"/>
      <c r="M6" s="258"/>
      <c r="N6" s="303"/>
      <c r="O6" s="304"/>
      <c r="P6" s="304"/>
      <c r="Q6" s="304"/>
      <c r="R6" s="305"/>
      <c r="S6" s="328"/>
      <c r="T6" s="329"/>
      <c r="U6" s="330"/>
      <c r="V6" s="6"/>
      <c r="CO6" s="65" t="s">
        <v>148</v>
      </c>
    </row>
    <row r="7" spans="1:22" ht="24.75" customHeight="1">
      <c r="A7" s="258" t="s">
        <v>10</v>
      </c>
      <c r="B7" s="258"/>
      <c r="C7" s="261"/>
      <c r="D7" s="261"/>
      <c r="E7" s="261"/>
      <c r="F7" s="261"/>
      <c r="G7" s="261"/>
      <c r="H7" s="136"/>
      <c r="I7" s="138"/>
      <c r="J7" s="258" t="s">
        <v>9</v>
      </c>
      <c r="K7" s="258"/>
      <c r="L7" s="258"/>
      <c r="M7" s="258"/>
      <c r="N7" s="268"/>
      <c r="O7" s="269"/>
      <c r="P7" s="28" t="s">
        <v>112</v>
      </c>
      <c r="Q7" s="263"/>
      <c r="R7" s="264"/>
      <c r="S7" s="136"/>
      <c r="T7" s="137"/>
      <c r="U7" s="138"/>
      <c r="V7" s="7"/>
    </row>
    <row r="8" spans="1:21" ht="24.75" customHeight="1">
      <c r="A8" s="139"/>
      <c r="B8" s="140"/>
      <c r="C8" s="140"/>
      <c r="D8" s="140"/>
      <c r="E8" s="140"/>
      <c r="F8" s="140"/>
      <c r="G8" s="140"/>
      <c r="H8" s="140"/>
      <c r="I8" s="141"/>
      <c r="J8" s="258" t="s">
        <v>58</v>
      </c>
      <c r="K8" s="258"/>
      <c r="L8" s="258"/>
      <c r="M8" s="258"/>
      <c r="N8" s="265">
        <f>IF(Q7="","",Q7-N6+1)</f>
      </c>
      <c r="O8" s="266"/>
      <c r="P8" s="266"/>
      <c r="Q8" s="266"/>
      <c r="R8" s="267"/>
      <c r="S8" s="136"/>
      <c r="T8" s="137"/>
      <c r="U8" s="138"/>
    </row>
    <row r="9" spans="1:31" s="2" customFormat="1" ht="15" customHeight="1" thickBot="1">
      <c r="A9" s="185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7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21" ht="24.75" customHeight="1" thickBot="1">
      <c r="A10" s="242" t="s">
        <v>14</v>
      </c>
      <c r="B10" s="243"/>
      <c r="C10" s="250" t="s">
        <v>13</v>
      </c>
      <c r="D10" s="250"/>
      <c r="E10" s="250"/>
      <c r="F10" s="250"/>
      <c r="G10" s="250"/>
      <c r="H10" s="251">
        <f>IF(P11="","",VLOOKUP(P11,Budgets,2,FALSE))</f>
      </c>
      <c r="I10" s="252"/>
      <c r="J10" s="302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4"/>
    </row>
    <row r="11" spans="1:22" ht="24.75" customHeight="1" thickBot="1">
      <c r="A11" s="244"/>
      <c r="B11" s="245"/>
      <c r="C11" s="253" t="s">
        <v>5</v>
      </c>
      <c r="D11" s="253"/>
      <c r="E11" s="253"/>
      <c r="F11" s="253"/>
      <c r="G11" s="253"/>
      <c r="H11" s="256"/>
      <c r="I11" s="257"/>
      <c r="J11" s="9"/>
      <c r="K11" s="254" t="s">
        <v>111</v>
      </c>
      <c r="L11" s="255"/>
      <c r="M11" s="255"/>
      <c r="N11" s="255"/>
      <c r="O11" s="255"/>
      <c r="P11" s="300"/>
      <c r="Q11" s="301"/>
      <c r="R11" s="246"/>
      <c r="S11" s="137"/>
      <c r="T11" s="137"/>
      <c r="U11" s="138"/>
      <c r="V11" s="10"/>
    </row>
    <row r="12" spans="1:31" s="2" customFormat="1" ht="24.75" customHeight="1">
      <c r="A12" s="331"/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3"/>
      <c r="V12" s="1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21" ht="21" thickBot="1">
      <c r="A13" s="324" t="s">
        <v>13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6"/>
    </row>
    <row r="14" spans="1:22" ht="24" customHeight="1">
      <c r="A14" s="223" t="s">
        <v>69</v>
      </c>
      <c r="B14" s="224"/>
      <c r="C14" s="224"/>
      <c r="D14" s="224"/>
      <c r="E14" s="224"/>
      <c r="F14" s="225" t="s">
        <v>158</v>
      </c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7"/>
      <c r="V14" s="67"/>
    </row>
    <row r="15" spans="1:34" s="24" customFormat="1" ht="12.75" customHeight="1">
      <c r="A15" s="228" t="s">
        <v>78</v>
      </c>
      <c r="B15" s="217"/>
      <c r="C15" s="217"/>
      <c r="D15" s="217"/>
      <c r="E15" s="217"/>
      <c r="F15" s="217"/>
      <c r="G15" s="217"/>
      <c r="H15" s="217"/>
      <c r="I15" s="219" t="s">
        <v>11</v>
      </c>
      <c r="J15" s="219"/>
      <c r="K15" s="219"/>
      <c r="L15" s="219"/>
      <c r="M15" s="217" t="s">
        <v>139</v>
      </c>
      <c r="N15" s="217"/>
      <c r="O15" s="219" t="s">
        <v>12</v>
      </c>
      <c r="P15" s="219"/>
      <c r="Q15" s="217" t="s">
        <v>68</v>
      </c>
      <c r="R15" s="217"/>
      <c r="S15" s="217" t="s">
        <v>137</v>
      </c>
      <c r="T15" s="217" t="s">
        <v>59</v>
      </c>
      <c r="U15" s="218"/>
      <c r="V15" s="57"/>
      <c r="W15" s="57"/>
      <c r="X15" s="39"/>
      <c r="Y15" s="71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s="24" customFormat="1" ht="12.75" customHeight="1">
      <c r="A16" s="228"/>
      <c r="B16" s="217"/>
      <c r="C16" s="217"/>
      <c r="D16" s="217"/>
      <c r="E16" s="217"/>
      <c r="F16" s="217"/>
      <c r="G16" s="217"/>
      <c r="H16" s="217"/>
      <c r="I16" s="219"/>
      <c r="J16" s="219"/>
      <c r="K16" s="219"/>
      <c r="L16" s="219"/>
      <c r="M16" s="217"/>
      <c r="N16" s="217"/>
      <c r="O16" s="219"/>
      <c r="P16" s="219"/>
      <c r="Q16" s="217"/>
      <c r="R16" s="217"/>
      <c r="S16" s="217"/>
      <c r="T16" s="217"/>
      <c r="U16" s="218"/>
      <c r="V16" s="57"/>
      <c r="W16" s="57"/>
      <c r="X16" s="39"/>
      <c r="Y16" s="71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s="24" customFormat="1" ht="12.75">
      <c r="A17" s="228"/>
      <c r="B17" s="217"/>
      <c r="C17" s="217"/>
      <c r="D17" s="217"/>
      <c r="E17" s="217"/>
      <c r="F17" s="217"/>
      <c r="G17" s="217"/>
      <c r="H17" s="217"/>
      <c r="I17" s="219"/>
      <c r="J17" s="219"/>
      <c r="K17" s="219"/>
      <c r="L17" s="219"/>
      <c r="M17" s="217"/>
      <c r="N17" s="217"/>
      <c r="O17" s="219"/>
      <c r="P17" s="219"/>
      <c r="Q17" s="217"/>
      <c r="R17" s="217"/>
      <c r="S17" s="217"/>
      <c r="T17" s="217"/>
      <c r="U17" s="218"/>
      <c r="V17" s="57"/>
      <c r="W17" s="57"/>
      <c r="X17" s="39"/>
      <c r="Y17" s="71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2.75">
      <c r="A18" s="228"/>
      <c r="B18" s="217"/>
      <c r="C18" s="217"/>
      <c r="D18" s="217"/>
      <c r="E18" s="217"/>
      <c r="F18" s="217"/>
      <c r="G18" s="217"/>
      <c r="H18" s="217"/>
      <c r="I18" s="219"/>
      <c r="J18" s="219"/>
      <c r="K18" s="219"/>
      <c r="L18" s="219"/>
      <c r="M18" s="217"/>
      <c r="N18" s="217"/>
      <c r="O18" s="219"/>
      <c r="P18" s="219"/>
      <c r="Q18" s="217"/>
      <c r="R18" s="217"/>
      <c r="S18" s="217"/>
      <c r="T18" s="217"/>
      <c r="U18" s="218"/>
      <c r="V18" s="67"/>
      <c r="W18" s="67"/>
      <c r="X18" s="11"/>
      <c r="Y18" s="1"/>
      <c r="AF18" s="4"/>
      <c r="AG18" s="4"/>
      <c r="AH18" s="4"/>
    </row>
    <row r="19" spans="1:26" ht="13.5" customHeight="1">
      <c r="A19" s="221"/>
      <c r="B19" s="222"/>
      <c r="C19" s="222"/>
      <c r="D19" s="222"/>
      <c r="E19" s="222"/>
      <c r="F19" s="222"/>
      <c r="G19" s="222"/>
      <c r="H19" s="222"/>
      <c r="I19" s="25"/>
      <c r="J19" s="13">
        <f aca="true" t="shared" si="0" ref="J19:J24">IF(Z19="15 Min Rate","Units",IF(Z19="Daily Rate","Days",""))</f>
      </c>
      <c r="K19" s="220"/>
      <c r="L19" s="220"/>
      <c r="M19" s="229"/>
      <c r="N19" s="229"/>
      <c r="O19" s="173">
        <f aca="true" t="shared" si="1" ref="O19:O24">IF(J19="","",VLOOKUP(W19,Adult_Day_Services_Rates,2,FALSE))</f>
      </c>
      <c r="P19" s="173"/>
      <c r="Q19" s="14">
        <f aca="true" t="shared" si="2" ref="Q19:Q24">IF(K19="Per Span",1,IF(K19="Per Month",$N$8/30.4,IF(K19="Per Week",$N$8/7,"")))</f>
      </c>
      <c r="R19" s="14">
        <f aca="true" t="shared" si="3" ref="R19:R24">IF(K19="Per Span","Span",IF(K19="Per Month","Months",IF(K19="Per Week","Weeks","")))</f>
      </c>
      <c r="S19" s="73">
        <f aca="true" t="shared" si="4" ref="S19:S24">IF(I19="","",(I19*Q19)-M19)</f>
      </c>
      <c r="T19" s="173">
        <f aca="true" t="shared" si="5" ref="T19:T24">IF(O19="","",S19*O19)</f>
      </c>
      <c r="U19" s="199"/>
      <c r="V19" s="72"/>
      <c r="W19" s="12">
        <f aca="true" t="shared" si="6" ref="W19:W24">IF(A19="","",CONCATENATE($P$11," - ",A19))</f>
      </c>
      <c r="X19" s="12">
        <f aca="true" t="shared" si="7" ref="X19:X24">IF(A19="","",FIND("-",A19))</f>
      </c>
      <c r="Y19" s="12">
        <f aca="true" t="shared" si="8" ref="Y19:Y24">LEN(A19)</f>
        <v>0</v>
      </c>
      <c r="Z19" s="12">
        <f aca="true" t="shared" si="9" ref="Z19:Z24">IF(A19="","",RIGHT(A19,Y19-X19-1))</f>
      </c>
    </row>
    <row r="20" spans="1:26" ht="13.5" customHeight="1">
      <c r="A20" s="221"/>
      <c r="B20" s="222"/>
      <c r="C20" s="222"/>
      <c r="D20" s="222"/>
      <c r="E20" s="222"/>
      <c r="F20" s="222"/>
      <c r="G20" s="222"/>
      <c r="H20" s="222"/>
      <c r="I20" s="25"/>
      <c r="J20" s="13">
        <f t="shared" si="0"/>
      </c>
      <c r="K20" s="220"/>
      <c r="L20" s="220"/>
      <c r="M20" s="229"/>
      <c r="N20" s="229"/>
      <c r="O20" s="173">
        <f t="shared" si="1"/>
      </c>
      <c r="P20" s="173"/>
      <c r="Q20" s="14">
        <f t="shared" si="2"/>
      </c>
      <c r="R20" s="14">
        <f t="shared" si="3"/>
      </c>
      <c r="S20" s="73">
        <f t="shared" si="4"/>
      </c>
      <c r="T20" s="173">
        <f t="shared" si="5"/>
      </c>
      <c r="U20" s="199"/>
      <c r="V20" s="67"/>
      <c r="W20" s="12">
        <f t="shared" si="6"/>
      </c>
      <c r="X20" s="12">
        <f t="shared" si="7"/>
      </c>
      <c r="Y20" s="12">
        <f t="shared" si="8"/>
        <v>0</v>
      </c>
      <c r="Z20" s="12">
        <f t="shared" si="9"/>
      </c>
    </row>
    <row r="21" spans="1:31" s="15" customFormat="1" ht="13.5" customHeight="1">
      <c r="A21" s="221"/>
      <c r="B21" s="222"/>
      <c r="C21" s="222"/>
      <c r="D21" s="222"/>
      <c r="E21" s="222"/>
      <c r="F21" s="222"/>
      <c r="G21" s="222"/>
      <c r="H21" s="222"/>
      <c r="I21" s="25"/>
      <c r="J21" s="13">
        <f t="shared" si="0"/>
      </c>
      <c r="K21" s="220"/>
      <c r="L21" s="220"/>
      <c r="M21" s="229"/>
      <c r="N21" s="229"/>
      <c r="O21" s="173">
        <f t="shared" si="1"/>
      </c>
      <c r="P21" s="173"/>
      <c r="Q21" s="14">
        <f t="shared" si="2"/>
      </c>
      <c r="R21" s="14">
        <f t="shared" si="3"/>
      </c>
      <c r="S21" s="73">
        <f t="shared" si="4"/>
      </c>
      <c r="T21" s="173">
        <f t="shared" si="5"/>
      </c>
      <c r="U21" s="199"/>
      <c r="V21" s="59"/>
      <c r="W21" s="12">
        <f t="shared" si="6"/>
      </c>
      <c r="X21" s="12">
        <f t="shared" si="7"/>
      </c>
      <c r="Y21" s="12">
        <f t="shared" si="8"/>
        <v>0</v>
      </c>
      <c r="Z21" s="12">
        <f t="shared" si="9"/>
      </c>
      <c r="AA21" s="4"/>
      <c r="AB21" s="4"/>
      <c r="AC21" s="4"/>
      <c r="AD21" s="4"/>
      <c r="AE21" s="4"/>
    </row>
    <row r="22" spans="1:31" s="15" customFormat="1" ht="13.5" customHeight="1">
      <c r="A22" s="221"/>
      <c r="B22" s="222"/>
      <c r="C22" s="222"/>
      <c r="D22" s="222"/>
      <c r="E22" s="222"/>
      <c r="F22" s="222"/>
      <c r="G22" s="222"/>
      <c r="H22" s="222"/>
      <c r="I22" s="25"/>
      <c r="J22" s="13">
        <f t="shared" si="0"/>
      </c>
      <c r="K22" s="220"/>
      <c r="L22" s="220"/>
      <c r="M22" s="229"/>
      <c r="N22" s="229"/>
      <c r="O22" s="173">
        <f t="shared" si="1"/>
      </c>
      <c r="P22" s="173"/>
      <c r="Q22" s="14">
        <f t="shared" si="2"/>
      </c>
      <c r="R22" s="14">
        <f t="shared" si="3"/>
      </c>
      <c r="S22" s="73">
        <f t="shared" si="4"/>
      </c>
      <c r="T22" s="173">
        <f t="shared" si="5"/>
      </c>
      <c r="U22" s="199"/>
      <c r="V22" s="59"/>
      <c r="W22" s="12">
        <f t="shared" si="6"/>
      </c>
      <c r="X22" s="12">
        <f t="shared" si="7"/>
      </c>
      <c r="Y22" s="12">
        <f t="shared" si="8"/>
        <v>0</v>
      </c>
      <c r="Z22" s="12">
        <f t="shared" si="9"/>
      </c>
      <c r="AA22" s="4"/>
      <c r="AB22" s="4"/>
      <c r="AC22" s="4"/>
      <c r="AD22" s="4"/>
      <c r="AE22" s="4"/>
    </row>
    <row r="23" spans="1:26" ht="13.5" customHeight="1">
      <c r="A23" s="221"/>
      <c r="B23" s="222"/>
      <c r="C23" s="222"/>
      <c r="D23" s="222"/>
      <c r="E23" s="222"/>
      <c r="F23" s="222"/>
      <c r="G23" s="222"/>
      <c r="H23" s="222"/>
      <c r="I23" s="25"/>
      <c r="J23" s="13">
        <f t="shared" si="0"/>
      </c>
      <c r="K23" s="220"/>
      <c r="L23" s="220"/>
      <c r="M23" s="229"/>
      <c r="N23" s="229"/>
      <c r="O23" s="173">
        <f t="shared" si="1"/>
      </c>
      <c r="P23" s="173"/>
      <c r="Q23" s="14">
        <f t="shared" si="2"/>
      </c>
      <c r="R23" s="14">
        <f t="shared" si="3"/>
      </c>
      <c r="S23" s="73">
        <f t="shared" si="4"/>
      </c>
      <c r="T23" s="173">
        <f t="shared" si="5"/>
      </c>
      <c r="U23" s="199"/>
      <c r="V23" s="67"/>
      <c r="W23" s="12">
        <f t="shared" si="6"/>
      </c>
      <c r="X23" s="12">
        <f t="shared" si="7"/>
      </c>
      <c r="Y23" s="12">
        <f t="shared" si="8"/>
        <v>0</v>
      </c>
      <c r="Z23" s="12">
        <f t="shared" si="9"/>
      </c>
    </row>
    <row r="24" spans="1:26" ht="13.5" customHeight="1">
      <c r="A24" s="221"/>
      <c r="B24" s="222"/>
      <c r="C24" s="222"/>
      <c r="D24" s="222"/>
      <c r="E24" s="222"/>
      <c r="F24" s="222"/>
      <c r="G24" s="222"/>
      <c r="H24" s="222"/>
      <c r="I24" s="25"/>
      <c r="J24" s="13">
        <f t="shared" si="0"/>
      </c>
      <c r="K24" s="220"/>
      <c r="L24" s="220"/>
      <c r="M24" s="229"/>
      <c r="N24" s="229"/>
      <c r="O24" s="173">
        <f t="shared" si="1"/>
      </c>
      <c r="P24" s="173"/>
      <c r="Q24" s="14">
        <f t="shared" si="2"/>
      </c>
      <c r="R24" s="14">
        <f t="shared" si="3"/>
      </c>
      <c r="S24" s="73">
        <f t="shared" si="4"/>
      </c>
      <c r="T24" s="173">
        <f t="shared" si="5"/>
      </c>
      <c r="U24" s="199"/>
      <c r="V24" s="67"/>
      <c r="W24" s="12">
        <f t="shared" si="6"/>
      </c>
      <c r="X24" s="12">
        <f t="shared" si="7"/>
      </c>
      <c r="Y24" s="12">
        <f t="shared" si="8"/>
        <v>0</v>
      </c>
      <c r="Z24" s="12">
        <f t="shared" si="9"/>
      </c>
    </row>
    <row r="25" spans="1:28" s="2" customFormat="1" ht="13.5" customHeight="1">
      <c r="A25" s="230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2"/>
      <c r="V25" s="67"/>
      <c r="W25" s="20"/>
      <c r="X25" s="20"/>
      <c r="Y25" s="20"/>
      <c r="Z25" s="20"/>
      <c r="AA25" s="20"/>
      <c r="AB25" s="20"/>
    </row>
    <row r="26" spans="1:22" ht="12.75" customHeight="1">
      <c r="A26" s="286" t="s">
        <v>156</v>
      </c>
      <c r="B26" s="287"/>
      <c r="C26" s="287"/>
      <c r="D26" s="287"/>
      <c r="E26" s="287"/>
      <c r="F26" s="287"/>
      <c r="G26" s="287"/>
      <c r="H26" s="288"/>
      <c r="I26" s="233" t="s">
        <v>11</v>
      </c>
      <c r="J26" s="233"/>
      <c r="K26" s="233"/>
      <c r="L26" s="233"/>
      <c r="M26" s="217" t="s">
        <v>139</v>
      </c>
      <c r="N26" s="217"/>
      <c r="O26" s="233" t="s">
        <v>12</v>
      </c>
      <c r="P26" s="233"/>
      <c r="Q26" s="211" t="s">
        <v>68</v>
      </c>
      <c r="R26" s="211"/>
      <c r="S26" s="211" t="s">
        <v>137</v>
      </c>
      <c r="T26" s="217" t="s">
        <v>138</v>
      </c>
      <c r="U26" s="218"/>
      <c r="V26" s="67"/>
    </row>
    <row r="27" spans="1:22" ht="12.75" customHeight="1">
      <c r="A27" s="289"/>
      <c r="B27" s="290"/>
      <c r="C27" s="290"/>
      <c r="D27" s="290"/>
      <c r="E27" s="290"/>
      <c r="F27" s="290"/>
      <c r="G27" s="290"/>
      <c r="H27" s="291"/>
      <c r="I27" s="233"/>
      <c r="J27" s="233"/>
      <c r="K27" s="233"/>
      <c r="L27" s="233"/>
      <c r="M27" s="217"/>
      <c r="N27" s="217"/>
      <c r="O27" s="233"/>
      <c r="P27" s="233"/>
      <c r="Q27" s="211"/>
      <c r="R27" s="211"/>
      <c r="S27" s="211"/>
      <c r="T27" s="217"/>
      <c r="U27" s="218"/>
      <c r="V27" s="67"/>
    </row>
    <row r="28" spans="1:22" ht="12.75" customHeight="1">
      <c r="A28" s="289"/>
      <c r="B28" s="290"/>
      <c r="C28" s="290"/>
      <c r="D28" s="290"/>
      <c r="E28" s="290"/>
      <c r="F28" s="290"/>
      <c r="G28" s="290"/>
      <c r="H28" s="291"/>
      <c r="I28" s="233"/>
      <c r="J28" s="233"/>
      <c r="K28" s="233"/>
      <c r="L28" s="233"/>
      <c r="M28" s="217"/>
      <c r="N28" s="217"/>
      <c r="O28" s="233"/>
      <c r="P28" s="233"/>
      <c r="Q28" s="211"/>
      <c r="R28" s="211"/>
      <c r="S28" s="211"/>
      <c r="T28" s="217"/>
      <c r="U28" s="218"/>
      <c r="V28" s="67"/>
    </row>
    <row r="29" spans="1:22" ht="12.75">
      <c r="A29" s="292"/>
      <c r="B29" s="293"/>
      <c r="C29" s="293"/>
      <c r="D29" s="293"/>
      <c r="E29" s="293"/>
      <c r="F29" s="293"/>
      <c r="G29" s="293"/>
      <c r="H29" s="294"/>
      <c r="I29" s="233"/>
      <c r="J29" s="233"/>
      <c r="K29" s="233"/>
      <c r="L29" s="233"/>
      <c r="M29" s="217"/>
      <c r="N29" s="217"/>
      <c r="O29" s="233"/>
      <c r="P29" s="233"/>
      <c r="Q29" s="211"/>
      <c r="R29" s="211"/>
      <c r="S29" s="211"/>
      <c r="T29" s="217"/>
      <c r="U29" s="218"/>
      <c r="V29" s="67"/>
    </row>
    <row r="30" spans="1:27" ht="13.5" customHeight="1">
      <c r="A30" s="214"/>
      <c r="B30" s="215"/>
      <c r="C30" s="215"/>
      <c r="D30" s="215"/>
      <c r="E30" s="215"/>
      <c r="F30" s="215"/>
      <c r="G30" s="216"/>
      <c r="H30" s="25"/>
      <c r="I30" s="25"/>
      <c r="J30" s="13">
        <f>IF(W30="15 Min Rate","Units","")</f>
      </c>
      <c r="K30" s="220"/>
      <c r="L30" s="220"/>
      <c r="M30" s="229"/>
      <c r="N30" s="229"/>
      <c r="O30" s="173">
        <f>IF(J30="","",VLOOKUP(A30,Supported_Employment_Community_Rates,2,FALSE)/H30)</f>
      </c>
      <c r="P30" s="173"/>
      <c r="Q30" s="14">
        <f>IF(K30="Per Span",1,IF(K30="Per Month",$N$8/30.4,IF(K30="Per Week",$N$8/7,"")))</f>
      </c>
      <c r="R30" s="14">
        <f>IF(K30="Per Span","Span",IF(K30="Per Month","Months",IF(K30="Per Week","Weeks","")))</f>
      </c>
      <c r="S30" s="73">
        <f>IF(I30="","",(I30*Q30)-M30)</f>
      </c>
      <c r="T30" s="173">
        <f>IF(O30="","",S30*O30)</f>
      </c>
      <c r="U30" s="199"/>
      <c r="V30" s="67"/>
      <c r="W30" s="12">
        <f>IF(A30="","",RIGHT(A30,Z30-Y30-1))</f>
      </c>
      <c r="X30" s="12">
        <f>IF(A30="","",FIND("-",A30))</f>
      </c>
      <c r="Y30" s="12">
        <f>IF(A30="","",FIND("-",A30,X30+1))</f>
      </c>
      <c r="Z30" s="12">
        <f>LEN(A30)</f>
        <v>0</v>
      </c>
      <c r="AA30" s="21">
        <f>IF(A30="","",MID(A30,X30+10,1))</f>
      </c>
    </row>
    <row r="31" spans="1:27" ht="13.5" customHeight="1">
      <c r="A31" s="214"/>
      <c r="B31" s="215"/>
      <c r="C31" s="215"/>
      <c r="D31" s="215"/>
      <c r="E31" s="215"/>
      <c r="F31" s="215"/>
      <c r="G31" s="216"/>
      <c r="H31" s="25"/>
      <c r="I31" s="25"/>
      <c r="J31" s="13">
        <f>IF(W31="15 Min Rate","Units","")</f>
      </c>
      <c r="K31" s="220"/>
      <c r="L31" s="220"/>
      <c r="M31" s="229"/>
      <c r="N31" s="229"/>
      <c r="O31" s="173">
        <f>IF(J31="","",VLOOKUP(A31,Supported_Employment_Community_Rates,2,FALSE)/H31)</f>
      </c>
      <c r="P31" s="173"/>
      <c r="Q31" s="14">
        <f>IF(K31="Per Span",1,IF(K31="Per Month",$N$8/30.4,IF(K31="Per Week",$N$8/7,"")))</f>
      </c>
      <c r="R31" s="14">
        <f>IF(K31="Per Span","Span",IF(K31="Per Month","Months",IF(K31="Per Week","Weeks","")))</f>
      </c>
      <c r="S31" s="73">
        <f>IF(I31="","",(I31*Q31)-M31)</f>
      </c>
      <c r="T31" s="173">
        <f>IF(O31="","",S31*O31)</f>
      </c>
      <c r="U31" s="199"/>
      <c r="V31" s="67"/>
      <c r="W31" s="12">
        <f>IF(A31="","",RIGHT(A31,Z31-Y31-1))</f>
      </c>
      <c r="X31" s="12">
        <f>IF(A31="","",FIND("-",A31))</f>
      </c>
      <c r="Y31" s="12">
        <f>IF(A31="","",FIND("-",A31,X31+1))</f>
      </c>
      <c r="Z31" s="12">
        <f>LEN(A31)</f>
        <v>0</v>
      </c>
      <c r="AA31" s="21">
        <f>IF(A31="","",MID(A31,X31+10,1))</f>
      </c>
    </row>
    <row r="32" spans="1:27" ht="13.5" customHeight="1">
      <c r="A32" s="214"/>
      <c r="B32" s="215"/>
      <c r="C32" s="215"/>
      <c r="D32" s="215"/>
      <c r="E32" s="215"/>
      <c r="F32" s="215"/>
      <c r="G32" s="216"/>
      <c r="H32" s="25"/>
      <c r="I32" s="25"/>
      <c r="J32" s="13">
        <f>IF(W32="15 Min Rate","Units","")</f>
      </c>
      <c r="K32" s="220"/>
      <c r="L32" s="220"/>
      <c r="M32" s="229"/>
      <c r="N32" s="229"/>
      <c r="O32" s="173">
        <f>IF(J32="","",VLOOKUP(A32,Supported_Employment_Community_Rates,2,FALSE)/H32)</f>
      </c>
      <c r="P32" s="173"/>
      <c r="Q32" s="14">
        <f>IF(K32="Per Span",1,IF(K32="Per Month",$N$8/30.4,IF(K32="Per Week",$N$8/7,"")))</f>
      </c>
      <c r="R32" s="14">
        <f>IF(K32="Per Span","Span",IF(K32="Per Month","Months",IF(K32="Per Week","Weeks","")))</f>
      </c>
      <c r="S32" s="73">
        <f>IF(I32="","",(I32*Q32)-M32)</f>
      </c>
      <c r="T32" s="173">
        <f>IF(O32="","",S32*O32)</f>
      </c>
      <c r="U32" s="199"/>
      <c r="V32" s="67"/>
      <c r="W32" s="12">
        <f>IF(A32="","",RIGHT(A32,Z32-Y32-1))</f>
      </c>
      <c r="X32" s="12">
        <f>IF(A32="","",FIND("-",A32))</f>
      </c>
      <c r="Y32" s="12">
        <f>IF(A32="","",FIND("-",A32,X32+1))</f>
      </c>
      <c r="Z32" s="12">
        <f>LEN(A32)</f>
        <v>0</v>
      </c>
      <c r="AA32" s="21">
        <f>IF(A32="","",MID(A32,X32+10,1))</f>
      </c>
    </row>
    <row r="33" spans="1:27" ht="13.5" customHeight="1">
      <c r="A33" s="214"/>
      <c r="B33" s="215"/>
      <c r="C33" s="215"/>
      <c r="D33" s="215"/>
      <c r="E33" s="215"/>
      <c r="F33" s="215"/>
      <c r="G33" s="216"/>
      <c r="H33" s="25"/>
      <c r="I33" s="25"/>
      <c r="J33" s="13">
        <f>IF(W33="15 Min Rate","Units","")</f>
      </c>
      <c r="K33" s="220"/>
      <c r="L33" s="220"/>
      <c r="M33" s="229"/>
      <c r="N33" s="229"/>
      <c r="O33" s="173">
        <f>IF(J33="","",VLOOKUP(A33,Supported_Employment_Community_Rates,2,FALSE)/H33)</f>
      </c>
      <c r="P33" s="173"/>
      <c r="Q33" s="14">
        <f>IF(K33="Per Span",1,IF(K33="Per Month",$N$8/30.4,IF(K33="Per Week",$N$8/7,"")))</f>
      </c>
      <c r="R33" s="14">
        <f>IF(K33="Per Span","Span",IF(K33="Per Month","Months",IF(K33="Per Week","Weeks","")))</f>
      </c>
      <c r="S33" s="73">
        <f>IF(I33="","",(I33*Q33)-M33)</f>
      </c>
      <c r="T33" s="173">
        <f>IF(O33="","",S33*O33)</f>
      </c>
      <c r="U33" s="199"/>
      <c r="V33" s="67"/>
      <c r="W33" s="12">
        <f>IF(A33="","",RIGHT(A33,Z33-Y33-1))</f>
      </c>
      <c r="X33" s="12">
        <f>IF(A33="","",FIND("-",A33))</f>
      </c>
      <c r="Y33" s="12">
        <f>IF(A33="","",FIND("-",A33,X33+1))</f>
      </c>
      <c r="Z33" s="12">
        <f>LEN(A33)</f>
        <v>0</v>
      </c>
      <c r="AA33" s="21">
        <f>IF(A33="","",MID(A33,X33+10,1))</f>
      </c>
    </row>
    <row r="34" spans="1:30" s="2" customFormat="1" ht="13.5" customHeight="1">
      <c r="A34" s="295"/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7"/>
      <c r="V34" s="67"/>
      <c r="W34" s="20"/>
      <c r="X34" s="20"/>
      <c r="Y34" s="20"/>
      <c r="Z34" s="20"/>
      <c r="AA34" s="20"/>
      <c r="AB34" s="20"/>
      <c r="AC34" s="20"/>
      <c r="AD34" s="20"/>
    </row>
    <row r="35" spans="1:33" ht="12.75">
      <c r="A35" s="228" t="s">
        <v>109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9" t="s">
        <v>59</v>
      </c>
      <c r="U35" s="273"/>
      <c r="V35" s="11"/>
      <c r="W35" s="20"/>
      <c r="X35" s="20"/>
      <c r="AF35" s="4"/>
      <c r="AG35" s="4"/>
    </row>
    <row r="36" spans="1:33" ht="12.75">
      <c r="A36" s="228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174"/>
      <c r="U36" s="200"/>
      <c r="V36" s="11"/>
      <c r="W36" s="20"/>
      <c r="X36" s="20"/>
      <c r="AF36" s="4"/>
      <c r="AG36" s="4"/>
    </row>
    <row r="37" spans="1:33" ht="19.5" customHeight="1" thickBot="1">
      <c r="A37" s="298" t="s">
        <v>79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12">
        <f>SUM(T19:U24,T30:U33,T36)</f>
        <v>0</v>
      </c>
      <c r="U37" s="213"/>
      <c r="V37" s="11"/>
      <c r="W37" s="20"/>
      <c r="X37" s="20"/>
      <c r="AF37" s="4"/>
      <c r="AG37" s="4"/>
    </row>
    <row r="38" spans="1:31" ht="15" customHeight="1" thickBot="1">
      <c r="A38" s="306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8"/>
      <c r="V38" s="16"/>
      <c r="W38" s="16"/>
      <c r="X38" s="16"/>
      <c r="Y38" s="16"/>
      <c r="AE38" s="3"/>
    </row>
    <row r="39" spans="1:31" ht="24" customHeight="1">
      <c r="A39" s="223" t="s">
        <v>141</v>
      </c>
      <c r="B39" s="224"/>
      <c r="C39" s="224"/>
      <c r="D39" s="224"/>
      <c r="E39" s="224"/>
      <c r="F39" s="225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7"/>
      <c r="AE39" s="3"/>
    </row>
    <row r="40" spans="1:33" s="24" customFormat="1" ht="12.75" customHeight="1">
      <c r="A40" s="228" t="s">
        <v>78</v>
      </c>
      <c r="B40" s="217"/>
      <c r="C40" s="217"/>
      <c r="D40" s="217"/>
      <c r="E40" s="217"/>
      <c r="F40" s="217"/>
      <c r="G40" s="217"/>
      <c r="H40" s="217"/>
      <c r="I40" s="219" t="s">
        <v>11</v>
      </c>
      <c r="J40" s="219"/>
      <c r="K40" s="219"/>
      <c r="L40" s="219"/>
      <c r="M40" s="217" t="s">
        <v>139</v>
      </c>
      <c r="N40" s="217"/>
      <c r="O40" s="219" t="s">
        <v>12</v>
      </c>
      <c r="P40" s="219"/>
      <c r="Q40" s="217" t="s">
        <v>68</v>
      </c>
      <c r="R40" s="217"/>
      <c r="S40" s="217" t="s">
        <v>137</v>
      </c>
      <c r="T40" s="217" t="s">
        <v>59</v>
      </c>
      <c r="U40" s="218"/>
      <c r="V40" s="57"/>
      <c r="W40" s="39"/>
      <c r="X40" s="71"/>
      <c r="Y40" s="42"/>
      <c r="Z40" s="42"/>
      <c r="AA40" s="42"/>
      <c r="AB40" s="42"/>
      <c r="AC40" s="42"/>
      <c r="AD40" s="42"/>
      <c r="AE40" s="42"/>
      <c r="AF40" s="42"/>
      <c r="AG40" s="42"/>
    </row>
    <row r="41" spans="1:33" s="24" customFormat="1" ht="12.75" customHeight="1">
      <c r="A41" s="228"/>
      <c r="B41" s="217"/>
      <c r="C41" s="217"/>
      <c r="D41" s="217"/>
      <c r="E41" s="217"/>
      <c r="F41" s="217"/>
      <c r="G41" s="217"/>
      <c r="H41" s="217"/>
      <c r="I41" s="219"/>
      <c r="J41" s="219"/>
      <c r="K41" s="219"/>
      <c r="L41" s="219"/>
      <c r="M41" s="217"/>
      <c r="N41" s="217"/>
      <c r="O41" s="219"/>
      <c r="P41" s="219"/>
      <c r="Q41" s="217"/>
      <c r="R41" s="217"/>
      <c r="S41" s="217"/>
      <c r="T41" s="217"/>
      <c r="U41" s="218"/>
      <c r="V41" s="57"/>
      <c r="W41" s="39"/>
      <c r="X41" s="71"/>
      <c r="Y41" s="42"/>
      <c r="Z41" s="42"/>
      <c r="AA41" s="42"/>
      <c r="AB41" s="42"/>
      <c r="AC41" s="42"/>
      <c r="AD41" s="42"/>
      <c r="AE41" s="42"/>
      <c r="AF41" s="42"/>
      <c r="AG41" s="42"/>
    </row>
    <row r="42" spans="1:33" s="24" customFormat="1" ht="12.75">
      <c r="A42" s="228"/>
      <c r="B42" s="217"/>
      <c r="C42" s="217"/>
      <c r="D42" s="217"/>
      <c r="E42" s="217"/>
      <c r="F42" s="217"/>
      <c r="G42" s="217"/>
      <c r="H42" s="217"/>
      <c r="I42" s="219"/>
      <c r="J42" s="219"/>
      <c r="K42" s="219"/>
      <c r="L42" s="219"/>
      <c r="M42" s="217"/>
      <c r="N42" s="217"/>
      <c r="O42" s="219"/>
      <c r="P42" s="219"/>
      <c r="Q42" s="217"/>
      <c r="R42" s="217"/>
      <c r="S42" s="217"/>
      <c r="T42" s="217"/>
      <c r="U42" s="218"/>
      <c r="V42" s="57"/>
      <c r="W42" s="39"/>
      <c r="X42" s="71"/>
      <c r="Y42" s="42"/>
      <c r="Z42" s="42"/>
      <c r="AA42" s="42"/>
      <c r="AB42" s="42"/>
      <c r="AC42" s="42"/>
      <c r="AD42" s="42"/>
      <c r="AE42" s="42"/>
      <c r="AF42" s="42"/>
      <c r="AG42" s="42"/>
    </row>
    <row r="43" spans="1:33" ht="12.75">
      <c r="A43" s="228"/>
      <c r="B43" s="217"/>
      <c r="C43" s="217"/>
      <c r="D43" s="217"/>
      <c r="E43" s="217"/>
      <c r="F43" s="217"/>
      <c r="G43" s="217"/>
      <c r="H43" s="217"/>
      <c r="I43" s="219"/>
      <c r="J43" s="219"/>
      <c r="K43" s="219"/>
      <c r="L43" s="219"/>
      <c r="M43" s="217"/>
      <c r="N43" s="217"/>
      <c r="O43" s="219"/>
      <c r="P43" s="219"/>
      <c r="Q43" s="217"/>
      <c r="R43" s="217"/>
      <c r="S43" s="217"/>
      <c r="T43" s="217"/>
      <c r="U43" s="218"/>
      <c r="V43" s="67"/>
      <c r="W43" s="11"/>
      <c r="X43" s="1"/>
      <c r="AF43" s="4"/>
      <c r="AG43" s="4"/>
    </row>
    <row r="44" spans="1:26" ht="13.5" customHeight="1">
      <c r="A44" s="221"/>
      <c r="B44" s="222"/>
      <c r="C44" s="222"/>
      <c r="D44" s="222"/>
      <c r="E44" s="222"/>
      <c r="F44" s="222"/>
      <c r="G44" s="222"/>
      <c r="H44" s="222"/>
      <c r="I44" s="25"/>
      <c r="J44" s="13">
        <f aca="true" t="shared" si="10" ref="J44:J49">IF(Z44="15 Min Rate","Units",IF(Z44="Daily Rate","Days",""))</f>
      </c>
      <c r="K44" s="220"/>
      <c r="L44" s="220"/>
      <c r="M44" s="229"/>
      <c r="N44" s="229"/>
      <c r="O44" s="173">
        <f aca="true" t="shared" si="11" ref="O44:O49">IF(J44="","",VLOOKUP(W44,Adult_Day_Services_Rates,2,FALSE))</f>
      </c>
      <c r="P44" s="173"/>
      <c r="Q44" s="14">
        <f aca="true" t="shared" si="12" ref="Q44:Q49">IF(K44="Per Span",1,IF(K44="Per Month",$N$8/30.4,IF(K44="Per Week",$N$8/7,"")))</f>
      </c>
      <c r="R44" s="14">
        <f aca="true" t="shared" si="13" ref="R44:R49">IF(K44="Per Span","Span",IF(K44="Per Month","Months",IF(K44="Per Week","Weeks","")))</f>
      </c>
      <c r="S44" s="73">
        <f aca="true" t="shared" si="14" ref="S44:S49">IF(I44="","",(I44*Q44)-M44)</f>
      </c>
      <c r="T44" s="173">
        <f aca="true" t="shared" si="15" ref="T44:T49">IF(O44="","",S44*O44)</f>
      </c>
      <c r="U44" s="199"/>
      <c r="V44" s="67"/>
      <c r="W44" s="12">
        <f aca="true" t="shared" si="16" ref="W44:W49">IF(A44="","",CONCATENATE($P$11," - ",A44))</f>
      </c>
      <c r="X44" s="12">
        <f aca="true" t="shared" si="17" ref="X44:X49">IF(A44="","",FIND("-",A44))</f>
      </c>
      <c r="Y44" s="12">
        <f aca="true" t="shared" si="18" ref="Y44:Y49">LEN(A44)</f>
        <v>0</v>
      </c>
      <c r="Z44" s="12">
        <f aca="true" t="shared" si="19" ref="Z44:Z49">IF(A44="","",RIGHT(A44,Y44-X44-1))</f>
      </c>
    </row>
    <row r="45" spans="1:26" ht="13.5" customHeight="1">
      <c r="A45" s="221"/>
      <c r="B45" s="222"/>
      <c r="C45" s="222"/>
      <c r="D45" s="222"/>
      <c r="E45" s="222"/>
      <c r="F45" s="222"/>
      <c r="G45" s="222"/>
      <c r="H45" s="222"/>
      <c r="I45" s="25"/>
      <c r="J45" s="13">
        <f t="shared" si="10"/>
      </c>
      <c r="K45" s="220"/>
      <c r="L45" s="220"/>
      <c r="M45" s="229"/>
      <c r="N45" s="229"/>
      <c r="O45" s="173">
        <f t="shared" si="11"/>
      </c>
      <c r="P45" s="173"/>
      <c r="Q45" s="14">
        <f t="shared" si="12"/>
      </c>
      <c r="R45" s="14">
        <f t="shared" si="13"/>
      </c>
      <c r="S45" s="73">
        <f t="shared" si="14"/>
      </c>
      <c r="T45" s="173">
        <f t="shared" si="15"/>
      </c>
      <c r="U45" s="199"/>
      <c r="V45" s="67"/>
      <c r="W45" s="12">
        <f t="shared" si="16"/>
      </c>
      <c r="X45" s="12">
        <f t="shared" si="17"/>
      </c>
      <c r="Y45" s="12">
        <f t="shared" si="18"/>
        <v>0</v>
      </c>
      <c r="Z45" s="12">
        <f t="shared" si="19"/>
      </c>
    </row>
    <row r="46" spans="1:31" s="15" customFormat="1" ht="13.5" customHeight="1">
      <c r="A46" s="221"/>
      <c r="B46" s="222"/>
      <c r="C46" s="222"/>
      <c r="D46" s="222"/>
      <c r="E46" s="222"/>
      <c r="F46" s="222"/>
      <c r="G46" s="222"/>
      <c r="H46" s="222"/>
      <c r="I46" s="25"/>
      <c r="J46" s="13">
        <f t="shared" si="10"/>
      </c>
      <c r="K46" s="220"/>
      <c r="L46" s="220"/>
      <c r="M46" s="229"/>
      <c r="N46" s="229"/>
      <c r="O46" s="173">
        <f t="shared" si="11"/>
      </c>
      <c r="P46" s="173"/>
      <c r="Q46" s="14">
        <f t="shared" si="12"/>
      </c>
      <c r="R46" s="14">
        <f t="shared" si="13"/>
      </c>
      <c r="S46" s="73">
        <f t="shared" si="14"/>
      </c>
      <c r="T46" s="173">
        <f t="shared" si="15"/>
      </c>
      <c r="U46" s="199"/>
      <c r="V46" s="59"/>
      <c r="W46" s="12">
        <f t="shared" si="16"/>
      </c>
      <c r="X46" s="12">
        <f t="shared" si="17"/>
      </c>
      <c r="Y46" s="12">
        <f t="shared" si="18"/>
        <v>0</v>
      </c>
      <c r="Z46" s="12">
        <f t="shared" si="19"/>
      </c>
      <c r="AA46" s="4"/>
      <c r="AB46" s="4"/>
      <c r="AC46" s="4"/>
      <c r="AD46" s="4"/>
      <c r="AE46" s="4"/>
    </row>
    <row r="47" spans="1:31" s="15" customFormat="1" ht="13.5" customHeight="1">
      <c r="A47" s="221"/>
      <c r="B47" s="222"/>
      <c r="C47" s="222"/>
      <c r="D47" s="222"/>
      <c r="E47" s="222"/>
      <c r="F47" s="222"/>
      <c r="G47" s="222"/>
      <c r="H47" s="222"/>
      <c r="I47" s="25"/>
      <c r="J47" s="13">
        <f t="shared" si="10"/>
      </c>
      <c r="K47" s="220"/>
      <c r="L47" s="220"/>
      <c r="M47" s="229"/>
      <c r="N47" s="229"/>
      <c r="O47" s="173">
        <f t="shared" si="11"/>
      </c>
      <c r="P47" s="173"/>
      <c r="Q47" s="14">
        <f t="shared" si="12"/>
      </c>
      <c r="R47" s="14">
        <f t="shared" si="13"/>
      </c>
      <c r="S47" s="73">
        <f t="shared" si="14"/>
      </c>
      <c r="T47" s="173">
        <f t="shared" si="15"/>
      </c>
      <c r="U47" s="199"/>
      <c r="V47" s="59"/>
      <c r="W47" s="12">
        <f t="shared" si="16"/>
      </c>
      <c r="X47" s="12">
        <f t="shared" si="17"/>
      </c>
      <c r="Y47" s="12">
        <f t="shared" si="18"/>
        <v>0</v>
      </c>
      <c r="Z47" s="12">
        <f t="shared" si="19"/>
      </c>
      <c r="AA47" s="4"/>
      <c r="AB47" s="4"/>
      <c r="AC47" s="4"/>
      <c r="AD47" s="4"/>
      <c r="AE47" s="4"/>
    </row>
    <row r="48" spans="1:26" ht="13.5" customHeight="1">
      <c r="A48" s="221"/>
      <c r="B48" s="222"/>
      <c r="C48" s="222"/>
      <c r="D48" s="222"/>
      <c r="E48" s="222"/>
      <c r="F48" s="222"/>
      <c r="G48" s="222"/>
      <c r="H48" s="222"/>
      <c r="I48" s="25"/>
      <c r="J48" s="13">
        <f t="shared" si="10"/>
      </c>
      <c r="K48" s="220"/>
      <c r="L48" s="220"/>
      <c r="M48" s="229"/>
      <c r="N48" s="229"/>
      <c r="O48" s="173">
        <f t="shared" si="11"/>
      </c>
      <c r="P48" s="173"/>
      <c r="Q48" s="14">
        <f t="shared" si="12"/>
      </c>
      <c r="R48" s="14">
        <f t="shared" si="13"/>
      </c>
      <c r="S48" s="73">
        <f t="shared" si="14"/>
      </c>
      <c r="T48" s="173">
        <f t="shared" si="15"/>
      </c>
      <c r="U48" s="199"/>
      <c r="V48" s="67"/>
      <c r="W48" s="12">
        <f t="shared" si="16"/>
      </c>
      <c r="X48" s="12">
        <f t="shared" si="17"/>
      </c>
      <c r="Y48" s="12">
        <f t="shared" si="18"/>
        <v>0</v>
      </c>
      <c r="Z48" s="12">
        <f t="shared" si="19"/>
      </c>
    </row>
    <row r="49" spans="1:26" ht="13.5" customHeight="1">
      <c r="A49" s="221"/>
      <c r="B49" s="222"/>
      <c r="C49" s="222"/>
      <c r="D49" s="222"/>
      <c r="E49" s="222"/>
      <c r="F49" s="222"/>
      <c r="G49" s="222"/>
      <c r="H49" s="222"/>
      <c r="I49" s="25"/>
      <c r="J49" s="13">
        <f t="shared" si="10"/>
      </c>
      <c r="K49" s="220"/>
      <c r="L49" s="220"/>
      <c r="M49" s="229"/>
      <c r="N49" s="229"/>
      <c r="O49" s="173">
        <f t="shared" si="11"/>
      </c>
      <c r="P49" s="173"/>
      <c r="Q49" s="14">
        <f t="shared" si="12"/>
      </c>
      <c r="R49" s="14">
        <f t="shared" si="13"/>
      </c>
      <c r="S49" s="73">
        <f t="shared" si="14"/>
      </c>
      <c r="T49" s="173">
        <f t="shared" si="15"/>
      </c>
      <c r="U49" s="199"/>
      <c r="V49" s="67"/>
      <c r="W49" s="12">
        <f t="shared" si="16"/>
      </c>
      <c r="X49" s="12">
        <f t="shared" si="17"/>
      </c>
      <c r="Y49" s="12">
        <f t="shared" si="18"/>
        <v>0</v>
      </c>
      <c r="Z49" s="12">
        <f t="shared" si="19"/>
      </c>
    </row>
    <row r="50" spans="1:31" ht="13.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2"/>
      <c r="V50" s="4"/>
      <c r="AC50" s="3"/>
      <c r="AD50" s="3"/>
      <c r="AE50" s="3"/>
    </row>
    <row r="51" spans="1:22" ht="12.75" customHeight="1">
      <c r="A51" s="286" t="s">
        <v>156</v>
      </c>
      <c r="B51" s="287"/>
      <c r="C51" s="287"/>
      <c r="D51" s="287"/>
      <c r="E51" s="287"/>
      <c r="F51" s="287"/>
      <c r="G51" s="287"/>
      <c r="H51" s="288"/>
      <c r="I51" s="233" t="s">
        <v>11</v>
      </c>
      <c r="J51" s="233"/>
      <c r="K51" s="233"/>
      <c r="L51" s="233"/>
      <c r="M51" s="217" t="s">
        <v>139</v>
      </c>
      <c r="N51" s="217"/>
      <c r="O51" s="233" t="s">
        <v>12</v>
      </c>
      <c r="P51" s="233"/>
      <c r="Q51" s="211" t="s">
        <v>68</v>
      </c>
      <c r="R51" s="211"/>
      <c r="S51" s="211" t="s">
        <v>137</v>
      </c>
      <c r="T51" s="217" t="s">
        <v>138</v>
      </c>
      <c r="U51" s="218"/>
      <c r="V51" s="67"/>
    </row>
    <row r="52" spans="1:22" ht="12.75" customHeight="1">
      <c r="A52" s="289"/>
      <c r="B52" s="290"/>
      <c r="C52" s="290"/>
      <c r="D52" s="290"/>
      <c r="E52" s="290"/>
      <c r="F52" s="290"/>
      <c r="G52" s="290"/>
      <c r="H52" s="291"/>
      <c r="I52" s="233"/>
      <c r="J52" s="233"/>
      <c r="K52" s="233"/>
      <c r="L52" s="233"/>
      <c r="M52" s="217"/>
      <c r="N52" s="217"/>
      <c r="O52" s="233"/>
      <c r="P52" s="233"/>
      <c r="Q52" s="211"/>
      <c r="R52" s="211"/>
      <c r="S52" s="211"/>
      <c r="T52" s="217"/>
      <c r="U52" s="218"/>
      <c r="V52" s="67"/>
    </row>
    <row r="53" spans="1:22" ht="12.75" customHeight="1">
      <c r="A53" s="289"/>
      <c r="B53" s="290"/>
      <c r="C53" s="290"/>
      <c r="D53" s="290"/>
      <c r="E53" s="290"/>
      <c r="F53" s="290"/>
      <c r="G53" s="290"/>
      <c r="H53" s="291"/>
      <c r="I53" s="233"/>
      <c r="J53" s="233"/>
      <c r="K53" s="233"/>
      <c r="L53" s="233"/>
      <c r="M53" s="217"/>
      <c r="N53" s="217"/>
      <c r="O53" s="233"/>
      <c r="P53" s="233"/>
      <c r="Q53" s="211"/>
      <c r="R53" s="211"/>
      <c r="S53" s="211"/>
      <c r="T53" s="217"/>
      <c r="U53" s="218"/>
      <c r="V53" s="67"/>
    </row>
    <row r="54" spans="1:22" ht="12.75">
      <c r="A54" s="292"/>
      <c r="B54" s="293"/>
      <c r="C54" s="293"/>
      <c r="D54" s="293"/>
      <c r="E54" s="293"/>
      <c r="F54" s="293"/>
      <c r="G54" s="293"/>
      <c r="H54" s="294"/>
      <c r="I54" s="233"/>
      <c r="J54" s="233"/>
      <c r="K54" s="233"/>
      <c r="L54" s="233"/>
      <c r="M54" s="217"/>
      <c r="N54" s="217"/>
      <c r="O54" s="233"/>
      <c r="P54" s="233"/>
      <c r="Q54" s="211"/>
      <c r="R54" s="211"/>
      <c r="S54" s="211"/>
      <c r="T54" s="217"/>
      <c r="U54" s="218"/>
      <c r="V54" s="67"/>
    </row>
    <row r="55" spans="1:27" ht="13.5" customHeight="1">
      <c r="A55" s="214"/>
      <c r="B55" s="215"/>
      <c r="C55" s="215"/>
      <c r="D55" s="215"/>
      <c r="E55" s="215"/>
      <c r="F55" s="215"/>
      <c r="G55" s="216"/>
      <c r="H55" s="25"/>
      <c r="I55" s="25"/>
      <c r="J55" s="13">
        <f>IF(W55="15 Min Rate","Units","")</f>
      </c>
      <c r="K55" s="220"/>
      <c r="L55" s="220"/>
      <c r="M55" s="229"/>
      <c r="N55" s="229"/>
      <c r="O55" s="173">
        <f>IF(J55="","",VLOOKUP(A55,Supported_Employment_Community_Rates,2,FALSE)/H55)</f>
      </c>
      <c r="P55" s="173"/>
      <c r="Q55" s="14">
        <f>IF(K55="Per Span",1,IF(K55="Per Month",$N$8/30.4,IF(K55="Per Week",$N$8/7,"")))</f>
      </c>
      <c r="R55" s="14">
        <f>IF(K55="Per Span","Span",IF(K55="Per Month","Months",IF(K55="Per Week","Weeks","")))</f>
      </c>
      <c r="S55" s="73">
        <f>IF(I55="","",(I55*Q55)-M55)</f>
      </c>
      <c r="T55" s="173">
        <f>IF(O55="","",S55*O55)</f>
      </c>
      <c r="U55" s="199"/>
      <c r="V55" s="67"/>
      <c r="W55" s="12">
        <f>IF(A55="","",RIGHT(A55,Z55-Y55-1))</f>
      </c>
      <c r="X55" s="12">
        <f>IF(A55="","",FIND("-",A55))</f>
      </c>
      <c r="Y55" s="12">
        <f>IF(A55="","",FIND("-",A55,X55+1))</f>
      </c>
      <c r="Z55" s="12">
        <f>LEN(A55)</f>
        <v>0</v>
      </c>
      <c r="AA55" s="21">
        <f>IF(A55="","",MID(A55,X55+10,1))</f>
      </c>
    </row>
    <row r="56" spans="1:27" ht="13.5" customHeight="1">
      <c r="A56" s="214"/>
      <c r="B56" s="215"/>
      <c r="C56" s="215"/>
      <c r="D56" s="215"/>
      <c r="E56" s="215"/>
      <c r="F56" s="215"/>
      <c r="G56" s="216"/>
      <c r="H56" s="25"/>
      <c r="I56" s="25"/>
      <c r="J56" s="13">
        <f>IF(W56="15 Min Rate","Units","")</f>
      </c>
      <c r="K56" s="220"/>
      <c r="L56" s="220"/>
      <c r="M56" s="229"/>
      <c r="N56" s="229"/>
      <c r="O56" s="173">
        <f>IF(J56="","",VLOOKUP(A56,Supported_Employment_Community_Rates,2,FALSE)/H56)</f>
      </c>
      <c r="P56" s="173"/>
      <c r="Q56" s="14">
        <f>IF(K56="Per Span",1,IF(K56="Per Month",$N$8/30.4,IF(K56="Per Week",$N$8/7,"")))</f>
      </c>
      <c r="R56" s="14">
        <f>IF(K56="Per Span","Span",IF(K56="Per Month","Months",IF(K56="Per Week","Weeks","")))</f>
      </c>
      <c r="S56" s="73">
        <f>IF(I56="","",(I56*Q56)-M56)</f>
      </c>
      <c r="T56" s="173">
        <f>IF(O56="","",S56*O56)</f>
      </c>
      <c r="U56" s="199"/>
      <c r="V56" s="67"/>
      <c r="W56" s="12">
        <f>IF(A56="","",RIGHT(A56,Z56-Y56-1))</f>
      </c>
      <c r="X56" s="12">
        <f>IF(A56="","",FIND("-",A56))</f>
      </c>
      <c r="Y56" s="12">
        <f>IF(A56="","",FIND("-",A56,X56+1))</f>
      </c>
      <c r="Z56" s="12">
        <f>LEN(A56)</f>
        <v>0</v>
      </c>
      <c r="AA56" s="21">
        <f>IF(A56="","",MID(A56,X56+10,1))</f>
      </c>
    </row>
    <row r="57" spans="1:27" ht="13.5" customHeight="1">
      <c r="A57" s="214"/>
      <c r="B57" s="215"/>
      <c r="C57" s="215"/>
      <c r="D57" s="215"/>
      <c r="E57" s="215"/>
      <c r="F57" s="215"/>
      <c r="G57" s="216"/>
      <c r="H57" s="25"/>
      <c r="I57" s="25"/>
      <c r="J57" s="13">
        <f>IF(W57="15 Min Rate","Units","")</f>
      </c>
      <c r="K57" s="220"/>
      <c r="L57" s="220"/>
      <c r="M57" s="229"/>
      <c r="N57" s="229"/>
      <c r="O57" s="173">
        <f>IF(J57="","",VLOOKUP(A57,Supported_Employment_Community_Rates,2,FALSE)/H57)</f>
      </c>
      <c r="P57" s="173"/>
      <c r="Q57" s="14">
        <f>IF(K57="Per Span",1,IF(K57="Per Month",$N$8/30.4,IF(K57="Per Week",$N$8/7,"")))</f>
      </c>
      <c r="R57" s="14">
        <f>IF(K57="Per Span","Span",IF(K57="Per Month","Months",IF(K57="Per Week","Weeks","")))</f>
      </c>
      <c r="S57" s="73">
        <f>IF(I57="","",(I57*Q57)-M57)</f>
      </c>
      <c r="T57" s="173">
        <f>IF(O57="","",S57*O57)</f>
      </c>
      <c r="U57" s="199"/>
      <c r="V57" s="67"/>
      <c r="W57" s="12">
        <f>IF(A57="","",RIGHT(A57,Z57-Y57-1))</f>
      </c>
      <c r="X57" s="12">
        <f>IF(A57="","",FIND("-",A57))</f>
      </c>
      <c r="Y57" s="12">
        <f>IF(A57="","",FIND("-",A57,X57+1))</f>
      </c>
      <c r="Z57" s="12">
        <f>LEN(A57)</f>
        <v>0</v>
      </c>
      <c r="AA57" s="21">
        <f>IF(A57="","",MID(A57,X57+10,1))</f>
      </c>
    </row>
    <row r="58" spans="1:27" ht="13.5" customHeight="1">
      <c r="A58" s="214"/>
      <c r="B58" s="215"/>
      <c r="C58" s="215"/>
      <c r="D58" s="215"/>
      <c r="E58" s="215"/>
      <c r="F58" s="215"/>
      <c r="G58" s="216"/>
      <c r="H58" s="25"/>
      <c r="I58" s="25"/>
      <c r="J58" s="13">
        <f>IF(W58="15 Min Rate","Units","")</f>
      </c>
      <c r="K58" s="220"/>
      <c r="L58" s="220"/>
      <c r="M58" s="229"/>
      <c r="N58" s="229"/>
      <c r="O58" s="173">
        <f>IF(J58="","",VLOOKUP(A58,Supported_Employment_Community_Rates,2,FALSE)/H58)</f>
      </c>
      <c r="P58" s="173"/>
      <c r="Q58" s="14">
        <f>IF(K58="Per Span",1,IF(K58="Per Month",$N$8/30.4,IF(K58="Per Week",$N$8/7,"")))</f>
      </c>
      <c r="R58" s="14">
        <f>IF(K58="Per Span","Span",IF(K58="Per Month","Months",IF(K58="Per Week","Weeks","")))</f>
      </c>
      <c r="S58" s="73">
        <f>IF(I58="","",(I58*Q58)-M58)</f>
      </c>
      <c r="T58" s="173">
        <f>IF(O58="","",S58*O58)</f>
      </c>
      <c r="U58" s="199"/>
      <c r="V58" s="67"/>
      <c r="W58" s="12">
        <f>IF(A58="","",RIGHT(A58,Z58-Y58-1))</f>
      </c>
      <c r="X58" s="12">
        <f>IF(A58="","",FIND("-",A58))</f>
      </c>
      <c r="Y58" s="12">
        <f>IF(A58="","",FIND("-",A58,X58+1))</f>
      </c>
      <c r="Z58" s="12">
        <f>LEN(A58)</f>
        <v>0</v>
      </c>
      <c r="AA58" s="21">
        <f>IF(A58="","",MID(A58,X58+10,1))</f>
      </c>
    </row>
    <row r="59" spans="1:31" ht="13.5" customHeight="1">
      <c r="A59" s="295"/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7"/>
      <c r="AE59" s="3"/>
    </row>
    <row r="60" spans="1:33" ht="12.75" customHeight="1">
      <c r="A60" s="228" t="s">
        <v>109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9" t="s">
        <v>59</v>
      </c>
      <c r="U60" s="273"/>
      <c r="V60" s="11"/>
      <c r="W60" s="20"/>
      <c r="X60" s="20"/>
      <c r="AF60" s="4"/>
      <c r="AG60" s="4"/>
    </row>
    <row r="61" spans="1:33" ht="12.75">
      <c r="A61" s="228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174"/>
      <c r="U61" s="200"/>
      <c r="V61" s="11"/>
      <c r="W61" s="20"/>
      <c r="X61" s="20"/>
      <c r="AF61" s="4"/>
      <c r="AG61" s="4"/>
    </row>
    <row r="62" spans="1:33" ht="19.5" customHeight="1" thickBot="1">
      <c r="A62" s="298" t="s">
        <v>142</v>
      </c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12">
        <f>SUM(T44:U49,T55:U58,T61)</f>
        <v>0</v>
      </c>
      <c r="U62" s="213"/>
      <c r="V62" s="11"/>
      <c r="W62" s="20"/>
      <c r="X62" s="20"/>
      <c r="AF62" s="4"/>
      <c r="AG62" s="4"/>
    </row>
    <row r="63" spans="1:31" ht="15" customHeight="1" thickBot="1">
      <c r="A63" s="313"/>
      <c r="B63" s="314"/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5"/>
      <c r="V63" s="16"/>
      <c r="W63" s="16"/>
      <c r="X63" s="16"/>
      <c r="Y63" s="16"/>
      <c r="AE63" s="3"/>
    </row>
    <row r="64" spans="1:31" ht="24" customHeight="1">
      <c r="A64" s="223" t="s">
        <v>143</v>
      </c>
      <c r="B64" s="224"/>
      <c r="C64" s="224"/>
      <c r="D64" s="224"/>
      <c r="E64" s="224"/>
      <c r="F64" s="225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7"/>
      <c r="AE64" s="3"/>
    </row>
    <row r="65" spans="1:33" s="24" customFormat="1" ht="12.75" customHeight="1">
      <c r="A65" s="228" t="s">
        <v>78</v>
      </c>
      <c r="B65" s="217"/>
      <c r="C65" s="217"/>
      <c r="D65" s="217"/>
      <c r="E65" s="217"/>
      <c r="F65" s="217"/>
      <c r="G65" s="217"/>
      <c r="H65" s="217"/>
      <c r="I65" s="219" t="s">
        <v>11</v>
      </c>
      <c r="J65" s="219"/>
      <c r="K65" s="219"/>
      <c r="L65" s="219"/>
      <c r="M65" s="217" t="s">
        <v>139</v>
      </c>
      <c r="N65" s="217"/>
      <c r="O65" s="219" t="s">
        <v>12</v>
      </c>
      <c r="P65" s="219"/>
      <c r="Q65" s="217" t="s">
        <v>68</v>
      </c>
      <c r="R65" s="217"/>
      <c r="S65" s="217" t="s">
        <v>137</v>
      </c>
      <c r="T65" s="217" t="s">
        <v>59</v>
      </c>
      <c r="U65" s="218"/>
      <c r="V65" s="57"/>
      <c r="W65" s="39"/>
      <c r="X65" s="71"/>
      <c r="Y65" s="42"/>
      <c r="Z65" s="42"/>
      <c r="AA65" s="42"/>
      <c r="AB65" s="42"/>
      <c r="AC65" s="42"/>
      <c r="AD65" s="42"/>
      <c r="AE65" s="42"/>
      <c r="AF65" s="42"/>
      <c r="AG65" s="42"/>
    </row>
    <row r="66" spans="1:33" s="24" customFormat="1" ht="12.75" customHeight="1">
      <c r="A66" s="228"/>
      <c r="B66" s="217"/>
      <c r="C66" s="217"/>
      <c r="D66" s="217"/>
      <c r="E66" s="217"/>
      <c r="F66" s="217"/>
      <c r="G66" s="217"/>
      <c r="H66" s="217"/>
      <c r="I66" s="219"/>
      <c r="J66" s="219"/>
      <c r="K66" s="219"/>
      <c r="L66" s="219"/>
      <c r="M66" s="217"/>
      <c r="N66" s="217"/>
      <c r="O66" s="219"/>
      <c r="P66" s="219"/>
      <c r="Q66" s="217"/>
      <c r="R66" s="217"/>
      <c r="S66" s="217"/>
      <c r="T66" s="217"/>
      <c r="U66" s="218"/>
      <c r="V66" s="57"/>
      <c r="W66" s="39"/>
      <c r="X66" s="71"/>
      <c r="Y66" s="42"/>
      <c r="Z66" s="42"/>
      <c r="AA66" s="42"/>
      <c r="AB66" s="42"/>
      <c r="AC66" s="42"/>
      <c r="AD66" s="42"/>
      <c r="AE66" s="42"/>
      <c r="AF66" s="42"/>
      <c r="AG66" s="42"/>
    </row>
    <row r="67" spans="1:33" s="24" customFormat="1" ht="12.75">
      <c r="A67" s="228"/>
      <c r="B67" s="217"/>
      <c r="C67" s="217"/>
      <c r="D67" s="217"/>
      <c r="E67" s="217"/>
      <c r="F67" s="217"/>
      <c r="G67" s="217"/>
      <c r="H67" s="217"/>
      <c r="I67" s="219"/>
      <c r="J67" s="219"/>
      <c r="K67" s="219"/>
      <c r="L67" s="219"/>
      <c r="M67" s="217"/>
      <c r="N67" s="217"/>
      <c r="O67" s="219"/>
      <c r="P67" s="219"/>
      <c r="Q67" s="217"/>
      <c r="R67" s="217"/>
      <c r="S67" s="217"/>
      <c r="T67" s="217"/>
      <c r="U67" s="218"/>
      <c r="V67" s="57"/>
      <c r="W67" s="39"/>
      <c r="X67" s="71"/>
      <c r="Y67" s="42"/>
      <c r="Z67" s="42"/>
      <c r="AA67" s="42"/>
      <c r="AB67" s="42"/>
      <c r="AC67" s="42"/>
      <c r="AD67" s="42"/>
      <c r="AE67" s="42"/>
      <c r="AF67" s="42"/>
      <c r="AG67" s="42"/>
    </row>
    <row r="68" spans="1:33" ht="12.75">
      <c r="A68" s="228"/>
      <c r="B68" s="217"/>
      <c r="C68" s="217"/>
      <c r="D68" s="217"/>
      <c r="E68" s="217"/>
      <c r="F68" s="217"/>
      <c r="G68" s="217"/>
      <c r="H68" s="217"/>
      <c r="I68" s="219"/>
      <c r="J68" s="219"/>
      <c r="K68" s="219"/>
      <c r="L68" s="219"/>
      <c r="M68" s="217"/>
      <c r="N68" s="217"/>
      <c r="O68" s="219"/>
      <c r="P68" s="219"/>
      <c r="Q68" s="217"/>
      <c r="R68" s="217"/>
      <c r="S68" s="217"/>
      <c r="T68" s="217"/>
      <c r="U68" s="218"/>
      <c r="V68" s="67"/>
      <c r="W68" s="11"/>
      <c r="X68" s="1"/>
      <c r="AF68" s="4"/>
      <c r="AG68" s="4"/>
    </row>
    <row r="69" spans="1:26" ht="13.5" customHeight="1">
      <c r="A69" s="221"/>
      <c r="B69" s="222"/>
      <c r="C69" s="222"/>
      <c r="D69" s="222"/>
      <c r="E69" s="222"/>
      <c r="F69" s="222"/>
      <c r="G69" s="222"/>
      <c r="H69" s="222"/>
      <c r="I69" s="25"/>
      <c r="J69" s="13">
        <f aca="true" t="shared" si="20" ref="J69:J74">IF(Z69="15 Min Rate","Units",IF(Z69="Daily Rate","Days",""))</f>
      </c>
      <c r="K69" s="220"/>
      <c r="L69" s="220"/>
      <c r="M69" s="229"/>
      <c r="N69" s="229"/>
      <c r="O69" s="173">
        <f aca="true" t="shared" si="21" ref="O69:O74">IF(J69="","",VLOOKUP(W69,Adult_Day_Services_Rates,2,FALSE))</f>
      </c>
      <c r="P69" s="173"/>
      <c r="Q69" s="14">
        <f aca="true" t="shared" si="22" ref="Q69:Q74">IF(K69="Per Span",1,IF(K69="Per Month",$N$8/30.4,IF(K69="Per Week",$N$8/7,"")))</f>
      </c>
      <c r="R69" s="14">
        <f aca="true" t="shared" si="23" ref="R69:R74">IF(K69="Per Span","Span",IF(K69="Per Month","Months",IF(K69="Per Week","Weeks","")))</f>
      </c>
      <c r="S69" s="73">
        <f aca="true" t="shared" si="24" ref="S69:S74">IF(I69="","",(I69*Q69)-M69)</f>
      </c>
      <c r="T69" s="173">
        <f aca="true" t="shared" si="25" ref="T69:T74">IF(O69="","",S69*O69)</f>
      </c>
      <c r="U69" s="199"/>
      <c r="V69" s="67"/>
      <c r="W69" s="12">
        <f aca="true" t="shared" si="26" ref="W69:W74">IF(A69="","",CONCATENATE($P$11," - ",A69))</f>
      </c>
      <c r="X69" s="12">
        <f aca="true" t="shared" si="27" ref="X69:X74">IF(A69="","",FIND("-",A69))</f>
      </c>
      <c r="Y69" s="12">
        <f aca="true" t="shared" si="28" ref="Y69:Y74">LEN(A69)</f>
        <v>0</v>
      </c>
      <c r="Z69" s="12">
        <f aca="true" t="shared" si="29" ref="Z69:Z74">IF(A69="","",RIGHT(A69,Y69-X69-1))</f>
      </c>
    </row>
    <row r="70" spans="1:26" ht="13.5" customHeight="1">
      <c r="A70" s="221"/>
      <c r="B70" s="222"/>
      <c r="C70" s="222"/>
      <c r="D70" s="222"/>
      <c r="E70" s="222"/>
      <c r="F70" s="222"/>
      <c r="G70" s="222"/>
      <c r="H70" s="222"/>
      <c r="I70" s="25"/>
      <c r="J70" s="13">
        <f t="shared" si="20"/>
      </c>
      <c r="K70" s="220"/>
      <c r="L70" s="220"/>
      <c r="M70" s="229"/>
      <c r="N70" s="229"/>
      <c r="O70" s="173">
        <f t="shared" si="21"/>
      </c>
      <c r="P70" s="173"/>
      <c r="Q70" s="14">
        <f t="shared" si="22"/>
      </c>
      <c r="R70" s="14">
        <f t="shared" si="23"/>
      </c>
      <c r="S70" s="73">
        <f t="shared" si="24"/>
      </c>
      <c r="T70" s="173">
        <f t="shared" si="25"/>
      </c>
      <c r="U70" s="199"/>
      <c r="V70" s="67"/>
      <c r="W70" s="12">
        <f t="shared" si="26"/>
      </c>
      <c r="X70" s="12">
        <f t="shared" si="27"/>
      </c>
      <c r="Y70" s="12">
        <f t="shared" si="28"/>
        <v>0</v>
      </c>
      <c r="Z70" s="12">
        <f t="shared" si="29"/>
      </c>
    </row>
    <row r="71" spans="1:31" s="15" customFormat="1" ht="13.5" customHeight="1">
      <c r="A71" s="221"/>
      <c r="B71" s="222"/>
      <c r="C71" s="222"/>
      <c r="D71" s="222"/>
      <c r="E71" s="222"/>
      <c r="F71" s="222"/>
      <c r="G71" s="222"/>
      <c r="H71" s="222"/>
      <c r="I71" s="25"/>
      <c r="J71" s="13">
        <f t="shared" si="20"/>
      </c>
      <c r="K71" s="220"/>
      <c r="L71" s="220"/>
      <c r="M71" s="229"/>
      <c r="N71" s="229"/>
      <c r="O71" s="173">
        <f t="shared" si="21"/>
      </c>
      <c r="P71" s="173"/>
      <c r="Q71" s="14">
        <f t="shared" si="22"/>
      </c>
      <c r="R71" s="14">
        <f t="shared" si="23"/>
      </c>
      <c r="S71" s="73">
        <f t="shared" si="24"/>
      </c>
      <c r="T71" s="173">
        <f t="shared" si="25"/>
      </c>
      <c r="U71" s="199"/>
      <c r="V71" s="59"/>
      <c r="W71" s="12">
        <f t="shared" si="26"/>
      </c>
      <c r="X71" s="12">
        <f t="shared" si="27"/>
      </c>
      <c r="Y71" s="12">
        <f t="shared" si="28"/>
        <v>0</v>
      </c>
      <c r="Z71" s="12">
        <f t="shared" si="29"/>
      </c>
      <c r="AA71" s="4"/>
      <c r="AB71" s="4"/>
      <c r="AC71" s="4"/>
      <c r="AD71" s="4"/>
      <c r="AE71" s="4"/>
    </row>
    <row r="72" spans="1:31" s="15" customFormat="1" ht="13.5" customHeight="1">
      <c r="A72" s="221"/>
      <c r="B72" s="222"/>
      <c r="C72" s="222"/>
      <c r="D72" s="222"/>
      <c r="E72" s="222"/>
      <c r="F72" s="222"/>
      <c r="G72" s="222"/>
      <c r="H72" s="222"/>
      <c r="I72" s="25"/>
      <c r="J72" s="13">
        <f t="shared" si="20"/>
      </c>
      <c r="K72" s="220"/>
      <c r="L72" s="220"/>
      <c r="M72" s="229"/>
      <c r="N72" s="229"/>
      <c r="O72" s="173">
        <f t="shared" si="21"/>
      </c>
      <c r="P72" s="173"/>
      <c r="Q72" s="14">
        <f t="shared" si="22"/>
      </c>
      <c r="R72" s="14">
        <f t="shared" si="23"/>
      </c>
      <c r="S72" s="73">
        <f t="shared" si="24"/>
      </c>
      <c r="T72" s="173">
        <f t="shared" si="25"/>
      </c>
      <c r="U72" s="199"/>
      <c r="V72" s="59"/>
      <c r="W72" s="12">
        <f t="shared" si="26"/>
      </c>
      <c r="X72" s="12">
        <f t="shared" si="27"/>
      </c>
      <c r="Y72" s="12">
        <f t="shared" si="28"/>
        <v>0</v>
      </c>
      <c r="Z72" s="12">
        <f t="shared" si="29"/>
      </c>
      <c r="AA72" s="4"/>
      <c r="AB72" s="4"/>
      <c r="AC72" s="4"/>
      <c r="AD72" s="4"/>
      <c r="AE72" s="4"/>
    </row>
    <row r="73" spans="1:26" ht="13.5" customHeight="1">
      <c r="A73" s="221"/>
      <c r="B73" s="222"/>
      <c r="C73" s="222"/>
      <c r="D73" s="222"/>
      <c r="E73" s="222"/>
      <c r="F73" s="222"/>
      <c r="G73" s="222"/>
      <c r="H73" s="222"/>
      <c r="I73" s="25"/>
      <c r="J73" s="13">
        <f t="shared" si="20"/>
      </c>
      <c r="K73" s="220"/>
      <c r="L73" s="220"/>
      <c r="M73" s="229"/>
      <c r="N73" s="229"/>
      <c r="O73" s="173">
        <f t="shared" si="21"/>
      </c>
      <c r="P73" s="173"/>
      <c r="Q73" s="14">
        <f t="shared" si="22"/>
      </c>
      <c r="R73" s="14">
        <f t="shared" si="23"/>
      </c>
      <c r="S73" s="73">
        <f t="shared" si="24"/>
      </c>
      <c r="T73" s="173">
        <f t="shared" si="25"/>
      </c>
      <c r="U73" s="199"/>
      <c r="V73" s="67"/>
      <c r="W73" s="12">
        <f t="shared" si="26"/>
      </c>
      <c r="X73" s="12">
        <f t="shared" si="27"/>
      </c>
      <c r="Y73" s="12">
        <f t="shared" si="28"/>
        <v>0</v>
      </c>
      <c r="Z73" s="12">
        <f t="shared" si="29"/>
      </c>
    </row>
    <row r="74" spans="1:26" ht="13.5" customHeight="1">
      <c r="A74" s="221"/>
      <c r="B74" s="222"/>
      <c r="C74" s="222"/>
      <c r="D74" s="222"/>
      <c r="E74" s="222"/>
      <c r="F74" s="222"/>
      <c r="G74" s="222"/>
      <c r="H74" s="222"/>
      <c r="I74" s="25"/>
      <c r="J74" s="13">
        <f t="shared" si="20"/>
      </c>
      <c r="K74" s="220"/>
      <c r="L74" s="220"/>
      <c r="M74" s="229"/>
      <c r="N74" s="229"/>
      <c r="O74" s="173">
        <f t="shared" si="21"/>
      </c>
      <c r="P74" s="173"/>
      <c r="Q74" s="14">
        <f t="shared" si="22"/>
      </c>
      <c r="R74" s="14">
        <f t="shared" si="23"/>
      </c>
      <c r="S74" s="73">
        <f t="shared" si="24"/>
      </c>
      <c r="T74" s="173">
        <f t="shared" si="25"/>
      </c>
      <c r="U74" s="199"/>
      <c r="V74" s="67"/>
      <c r="W74" s="12">
        <f t="shared" si="26"/>
      </c>
      <c r="X74" s="12">
        <f t="shared" si="27"/>
      </c>
      <c r="Y74" s="12">
        <f t="shared" si="28"/>
        <v>0</v>
      </c>
      <c r="Z74" s="12">
        <f t="shared" si="29"/>
      </c>
    </row>
    <row r="75" spans="1:31" ht="13.5" customHeight="1">
      <c r="A75" s="230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2"/>
      <c r="V75" s="4"/>
      <c r="AC75" s="3"/>
      <c r="AD75" s="3"/>
      <c r="AE75" s="3"/>
    </row>
    <row r="76" spans="1:22" ht="12.75" customHeight="1">
      <c r="A76" s="286" t="s">
        <v>156</v>
      </c>
      <c r="B76" s="287"/>
      <c r="C76" s="287"/>
      <c r="D76" s="287"/>
      <c r="E76" s="287"/>
      <c r="F76" s="287"/>
      <c r="G76" s="287"/>
      <c r="H76" s="288"/>
      <c r="I76" s="233" t="s">
        <v>11</v>
      </c>
      <c r="J76" s="233"/>
      <c r="K76" s="233"/>
      <c r="L76" s="233"/>
      <c r="M76" s="217" t="s">
        <v>139</v>
      </c>
      <c r="N76" s="217"/>
      <c r="O76" s="233" t="s">
        <v>12</v>
      </c>
      <c r="P76" s="233"/>
      <c r="Q76" s="211" t="s">
        <v>68</v>
      </c>
      <c r="R76" s="211"/>
      <c r="S76" s="211" t="s">
        <v>137</v>
      </c>
      <c r="T76" s="217" t="s">
        <v>138</v>
      </c>
      <c r="U76" s="218"/>
      <c r="V76" s="67"/>
    </row>
    <row r="77" spans="1:22" ht="12.75" customHeight="1">
      <c r="A77" s="289"/>
      <c r="B77" s="290"/>
      <c r="C77" s="290"/>
      <c r="D77" s="290"/>
      <c r="E77" s="290"/>
      <c r="F77" s="290"/>
      <c r="G77" s="290"/>
      <c r="H77" s="291"/>
      <c r="I77" s="233"/>
      <c r="J77" s="233"/>
      <c r="K77" s="233"/>
      <c r="L77" s="233"/>
      <c r="M77" s="217"/>
      <c r="N77" s="217"/>
      <c r="O77" s="233"/>
      <c r="P77" s="233"/>
      <c r="Q77" s="211"/>
      <c r="R77" s="211"/>
      <c r="S77" s="211"/>
      <c r="T77" s="217"/>
      <c r="U77" s="218"/>
      <c r="V77" s="67"/>
    </row>
    <row r="78" spans="1:31" ht="12.75" customHeight="1">
      <c r="A78" s="289"/>
      <c r="B78" s="290"/>
      <c r="C78" s="290"/>
      <c r="D78" s="290"/>
      <c r="E78" s="290"/>
      <c r="F78" s="290"/>
      <c r="G78" s="290"/>
      <c r="H78" s="291"/>
      <c r="I78" s="233"/>
      <c r="J78" s="233"/>
      <c r="K78" s="233"/>
      <c r="L78" s="233"/>
      <c r="M78" s="217"/>
      <c r="N78" s="217"/>
      <c r="O78" s="233"/>
      <c r="P78" s="233"/>
      <c r="Q78" s="211"/>
      <c r="R78" s="211"/>
      <c r="S78" s="211"/>
      <c r="T78" s="217"/>
      <c r="U78" s="218"/>
      <c r="V78" s="67"/>
      <c r="AD78" s="3"/>
      <c r="AE78" s="3"/>
    </row>
    <row r="79" spans="1:31" ht="12.75">
      <c r="A79" s="292"/>
      <c r="B79" s="293"/>
      <c r="C79" s="293"/>
      <c r="D79" s="293"/>
      <c r="E79" s="293"/>
      <c r="F79" s="293"/>
      <c r="G79" s="293"/>
      <c r="H79" s="294"/>
      <c r="I79" s="233"/>
      <c r="J79" s="233"/>
      <c r="K79" s="233"/>
      <c r="L79" s="233"/>
      <c r="M79" s="217"/>
      <c r="N79" s="217"/>
      <c r="O79" s="233"/>
      <c r="P79" s="233"/>
      <c r="Q79" s="211"/>
      <c r="R79" s="211"/>
      <c r="S79" s="211"/>
      <c r="T79" s="217"/>
      <c r="U79" s="218"/>
      <c r="V79" s="67"/>
      <c r="AD79" s="3"/>
      <c r="AE79" s="3"/>
    </row>
    <row r="80" spans="1:31" ht="13.5" customHeight="1">
      <c r="A80" s="214"/>
      <c r="B80" s="215"/>
      <c r="C80" s="215"/>
      <c r="D80" s="215"/>
      <c r="E80" s="215"/>
      <c r="F80" s="215"/>
      <c r="G80" s="216"/>
      <c r="H80" s="25"/>
      <c r="I80" s="25"/>
      <c r="J80" s="13">
        <f>IF(W80="15 Min Rate","Units","")</f>
      </c>
      <c r="K80" s="220"/>
      <c r="L80" s="220"/>
      <c r="M80" s="229"/>
      <c r="N80" s="229"/>
      <c r="O80" s="173">
        <f>IF(J80="","",VLOOKUP(A80,Supported_Employment_Community_Rates,2,FALSE)/H80)</f>
      </c>
      <c r="P80" s="173"/>
      <c r="Q80" s="14">
        <f>IF(K80="Per Span",1,IF(K80="Per Month",$N$8/30.4,IF(K80="Per Week",$N$8/7,"")))</f>
      </c>
      <c r="R80" s="14">
        <f>IF(K80="Per Span","Span",IF(K80="Per Month","Months",IF(K80="Per Week","Weeks","")))</f>
      </c>
      <c r="S80" s="73">
        <f>IF(I80="","",(I80*Q80)-M80)</f>
      </c>
      <c r="T80" s="173">
        <f>IF(O80="","",S80*O80)</f>
      </c>
      <c r="U80" s="199"/>
      <c r="V80" s="67"/>
      <c r="W80" s="12">
        <f>IF(A80="","",RIGHT(A80,Z80-Y80-1))</f>
      </c>
      <c r="X80" s="12">
        <f>IF(A80="","",FIND("-",A80))</f>
      </c>
      <c r="Y80" s="12">
        <f>IF(A80="","",FIND("-",A80,X80+1))</f>
      </c>
      <c r="Z80" s="12">
        <f>LEN(A80)</f>
        <v>0</v>
      </c>
      <c r="AA80" s="21">
        <f>IF(A80="","",MID(A80,X80+10,1))</f>
      </c>
      <c r="AD80" s="3"/>
      <c r="AE80" s="3"/>
    </row>
    <row r="81" spans="1:31" ht="13.5" customHeight="1">
      <c r="A81" s="214"/>
      <c r="B81" s="215"/>
      <c r="C81" s="215"/>
      <c r="D81" s="215"/>
      <c r="E81" s="215"/>
      <c r="F81" s="215"/>
      <c r="G81" s="216"/>
      <c r="H81" s="25"/>
      <c r="I81" s="25"/>
      <c r="J81" s="13">
        <f>IF(W81="15 Min Rate","Units","")</f>
      </c>
      <c r="K81" s="220"/>
      <c r="L81" s="220"/>
      <c r="M81" s="229"/>
      <c r="N81" s="229"/>
      <c r="O81" s="173">
        <f>IF(J81="","",VLOOKUP(A81,Supported_Employment_Community_Rates,2,FALSE)/H81)</f>
      </c>
      <c r="P81" s="173"/>
      <c r="Q81" s="14">
        <f>IF(K81="Per Span",1,IF(K81="Per Month",$N$8/30.4,IF(K81="Per Week",$N$8/7,"")))</f>
      </c>
      <c r="R81" s="14">
        <f>IF(K81="Per Span","Span",IF(K81="Per Month","Months",IF(K81="Per Week","Weeks","")))</f>
      </c>
      <c r="S81" s="73">
        <f>IF(I81="","",(I81*Q81)-M81)</f>
      </c>
      <c r="T81" s="173">
        <f>IF(O81="","",S81*O81)</f>
      </c>
      <c r="U81" s="199"/>
      <c r="V81" s="67"/>
      <c r="W81" s="12">
        <f>IF(A81="","",RIGHT(A81,Z81-Y81-1))</f>
      </c>
      <c r="X81" s="12">
        <f>IF(A81="","",FIND("-",A81))</f>
      </c>
      <c r="Y81" s="12">
        <f>IF(A81="","",FIND("-",A81,X81+1))</f>
      </c>
      <c r="Z81" s="12">
        <f>LEN(A81)</f>
        <v>0</v>
      </c>
      <c r="AA81" s="21">
        <f>IF(A81="","",MID(A81,X81+10,1))</f>
      </c>
      <c r="AD81" s="3"/>
      <c r="AE81" s="3"/>
    </row>
    <row r="82" spans="1:31" ht="13.5" customHeight="1">
      <c r="A82" s="214"/>
      <c r="B82" s="215"/>
      <c r="C82" s="215"/>
      <c r="D82" s="215"/>
      <c r="E82" s="215"/>
      <c r="F82" s="215"/>
      <c r="G82" s="216"/>
      <c r="H82" s="25"/>
      <c r="I82" s="25"/>
      <c r="J82" s="13">
        <f>IF(W82="15 Min Rate","Units","")</f>
      </c>
      <c r="K82" s="220"/>
      <c r="L82" s="220"/>
      <c r="M82" s="229"/>
      <c r="N82" s="229"/>
      <c r="O82" s="173">
        <f>IF(J82="","",VLOOKUP(A82,Supported_Employment_Community_Rates,2,FALSE)/H82)</f>
      </c>
      <c r="P82" s="173"/>
      <c r="Q82" s="14">
        <f>IF(K82="Per Span",1,IF(K82="Per Month",$N$8/30.4,IF(K82="Per Week",$N$8/7,"")))</f>
      </c>
      <c r="R82" s="14">
        <f>IF(K82="Per Span","Span",IF(K82="Per Month","Months",IF(K82="Per Week","Weeks","")))</f>
      </c>
      <c r="S82" s="73">
        <f>IF(I82="","",(I82*Q82)-M82)</f>
      </c>
      <c r="T82" s="173">
        <f>IF(O82="","",S82*O82)</f>
      </c>
      <c r="U82" s="199"/>
      <c r="V82" s="67"/>
      <c r="W82" s="12">
        <f>IF(A82="","",RIGHT(A82,Z82-Y82-1))</f>
      </c>
      <c r="X82" s="12">
        <f>IF(A82="","",FIND("-",A82))</f>
      </c>
      <c r="Y82" s="12">
        <f>IF(A82="","",FIND("-",A82,X82+1))</f>
      </c>
      <c r="Z82" s="12">
        <f>LEN(A82)</f>
        <v>0</v>
      </c>
      <c r="AA82" s="21">
        <f>IF(A82="","",MID(A82,X82+10,1))</f>
      </c>
      <c r="AD82" s="3"/>
      <c r="AE82" s="3"/>
    </row>
    <row r="83" spans="1:31" ht="13.5" customHeight="1">
      <c r="A83" s="214"/>
      <c r="B83" s="215"/>
      <c r="C83" s="215"/>
      <c r="D83" s="215"/>
      <c r="E83" s="215"/>
      <c r="F83" s="215"/>
      <c r="G83" s="216"/>
      <c r="H83" s="25"/>
      <c r="I83" s="25"/>
      <c r="J83" s="13">
        <f>IF(W83="15 Min Rate","Units","")</f>
      </c>
      <c r="K83" s="220"/>
      <c r="L83" s="220"/>
      <c r="M83" s="229"/>
      <c r="N83" s="229"/>
      <c r="O83" s="173">
        <f>IF(J83="","",VLOOKUP(A83,Supported_Employment_Community_Rates,2,FALSE)/H83)</f>
      </c>
      <c r="P83" s="173"/>
      <c r="Q83" s="14">
        <f>IF(K83="Per Span",1,IF(K83="Per Month",$N$8/30.4,IF(K83="Per Week",$N$8/7,"")))</f>
      </c>
      <c r="R83" s="14">
        <f>IF(K83="Per Span","Span",IF(K83="Per Month","Months",IF(K83="Per Week","Weeks","")))</f>
      </c>
      <c r="S83" s="73">
        <f>IF(I83="","",(I83*Q83)-M83)</f>
      </c>
      <c r="T83" s="173">
        <f>IF(O83="","",S83*O83)</f>
      </c>
      <c r="U83" s="199"/>
      <c r="V83" s="67"/>
      <c r="W83" s="12">
        <f>IF(A83="","",RIGHT(A83,Z83-Y83-1))</f>
      </c>
      <c r="X83" s="12">
        <f>IF(A83="","",FIND("-",A83))</f>
      </c>
      <c r="Y83" s="12">
        <f>IF(A83="","",FIND("-",A83,X83+1))</f>
      </c>
      <c r="Z83" s="12">
        <f>LEN(A83)</f>
        <v>0</v>
      </c>
      <c r="AA83" s="21">
        <f>IF(A83="","",MID(A83,X83+10,1))</f>
      </c>
      <c r="AD83" s="3"/>
      <c r="AE83" s="3"/>
    </row>
    <row r="84" spans="1:21" ht="13.5" customHeight="1">
      <c r="A84" s="295"/>
      <c r="B84" s="296"/>
      <c r="C84" s="296"/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7"/>
    </row>
    <row r="85" spans="1:34" ht="12.75" customHeight="1">
      <c r="A85" s="228" t="s">
        <v>109</v>
      </c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9" t="s">
        <v>59</v>
      </c>
      <c r="U85" s="273"/>
      <c r="V85" s="11"/>
      <c r="W85" s="20"/>
      <c r="X85" s="20"/>
      <c r="Y85" s="20"/>
      <c r="AF85" s="4"/>
      <c r="AG85" s="4"/>
      <c r="AH85" s="4"/>
    </row>
    <row r="86" spans="1:34" ht="12.75">
      <c r="A86" s="228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174"/>
      <c r="U86" s="200"/>
      <c r="V86" s="11"/>
      <c r="W86" s="20"/>
      <c r="X86" s="20"/>
      <c r="Y86" s="20"/>
      <c r="AF86" s="4"/>
      <c r="AG86" s="4"/>
      <c r="AH86" s="4"/>
    </row>
    <row r="87" spans="1:34" ht="19.5" customHeight="1" thickBot="1">
      <c r="A87" s="298" t="s">
        <v>144</v>
      </c>
      <c r="B87" s="299"/>
      <c r="C87" s="299"/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299"/>
      <c r="S87" s="299"/>
      <c r="T87" s="212">
        <f>SUM(T69:U74,T80:U83,T86)</f>
        <v>0</v>
      </c>
      <c r="U87" s="213"/>
      <c r="V87" s="11"/>
      <c r="W87" s="20"/>
      <c r="X87" s="20"/>
      <c r="Y87" s="20"/>
      <c r="AF87" s="4"/>
      <c r="AG87" s="4"/>
      <c r="AH87" s="4"/>
    </row>
    <row r="88" spans="1:26" ht="15" customHeight="1">
      <c r="A88" s="313"/>
      <c r="B88" s="314"/>
      <c r="C88" s="314"/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314"/>
      <c r="P88" s="314"/>
      <c r="Q88" s="314"/>
      <c r="R88" s="314"/>
      <c r="S88" s="314"/>
      <c r="T88" s="314"/>
      <c r="U88" s="315"/>
      <c r="V88" s="74"/>
      <c r="W88" s="74"/>
      <c r="X88" s="16"/>
      <c r="Y88" s="16"/>
      <c r="Z88" s="16"/>
    </row>
    <row r="89" spans="1:33" ht="18">
      <c r="A89" s="151"/>
      <c r="B89" s="152"/>
      <c r="C89" s="152"/>
      <c r="D89" s="152"/>
      <c r="E89" s="152"/>
      <c r="F89" s="206" t="s">
        <v>80</v>
      </c>
      <c r="G89" s="207"/>
      <c r="H89" s="207"/>
      <c r="I89" s="207"/>
      <c r="J89" s="207"/>
      <c r="K89" s="207"/>
      <c r="L89" s="207"/>
      <c r="M89" s="234">
        <f>SUM(T37,T62,T87)</f>
        <v>0</v>
      </c>
      <c r="N89" s="234"/>
      <c r="O89" s="234"/>
      <c r="P89" s="235"/>
      <c r="Q89" s="153"/>
      <c r="R89" s="312"/>
      <c r="S89" s="312"/>
      <c r="T89" s="312"/>
      <c r="U89" s="312"/>
      <c r="V89" s="32"/>
      <c r="W89" s="32"/>
      <c r="X89" s="20"/>
      <c r="AC89" s="17"/>
      <c r="AD89" s="17"/>
      <c r="AF89" s="4"/>
      <c r="AG89" s="4"/>
    </row>
    <row r="90" spans="1:33" ht="18">
      <c r="A90" s="151"/>
      <c r="B90" s="152"/>
      <c r="C90" s="152"/>
      <c r="D90" s="152"/>
      <c r="E90" s="152"/>
      <c r="F90" s="320">
        <f>IF(P2="","","Match for Adult Day Services: ")</f>
      </c>
      <c r="G90" s="320"/>
      <c r="H90" s="320"/>
      <c r="I90" s="320"/>
      <c r="J90" s="320"/>
      <c r="K90" s="320"/>
      <c r="L90" s="320"/>
      <c r="M90" s="249">
        <f>IF(P2="","",M89*0.4017)</f>
      </c>
      <c r="N90" s="249"/>
      <c r="O90" s="249"/>
      <c r="P90" s="249"/>
      <c r="Q90" s="153"/>
      <c r="R90" s="312"/>
      <c r="S90" s="312"/>
      <c r="T90" s="312"/>
      <c r="U90" s="312"/>
      <c r="V90" s="32"/>
      <c r="W90" s="32"/>
      <c r="X90" s="20"/>
      <c r="AC90" s="17"/>
      <c r="AD90" s="17"/>
      <c r="AF90" s="4"/>
      <c r="AG90" s="4"/>
    </row>
    <row r="91" spans="1:28" ht="24.75" customHeight="1">
      <c r="A91" s="316"/>
      <c r="B91" s="317"/>
      <c r="C91" s="317"/>
      <c r="D91" s="317"/>
      <c r="E91" s="317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7"/>
      <c r="R91" s="317"/>
      <c r="S91" s="317"/>
      <c r="T91" s="317"/>
      <c r="U91" s="319"/>
      <c r="V91" s="19"/>
      <c r="W91" s="19"/>
      <c r="X91" s="19"/>
      <c r="Y91" s="19"/>
      <c r="Z91" s="19"/>
      <c r="AA91" s="17"/>
      <c r="AB91" s="17"/>
    </row>
    <row r="92" spans="1:28" ht="21" thickBot="1">
      <c r="A92" s="309" t="s">
        <v>15</v>
      </c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1"/>
      <c r="AA92" s="17"/>
      <c r="AB92" s="17"/>
    </row>
    <row r="93" spans="1:31" ht="24" customHeight="1">
      <c r="A93" s="274" t="s">
        <v>70</v>
      </c>
      <c r="B93" s="275"/>
      <c r="C93" s="275"/>
      <c r="D93" s="275"/>
      <c r="E93" s="275"/>
      <c r="F93" s="275"/>
      <c r="G93" s="275"/>
      <c r="H93" s="225" t="s">
        <v>157</v>
      </c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7"/>
      <c r="V93" s="81"/>
      <c r="Z93" s="17"/>
      <c r="AA93" s="17"/>
      <c r="AE93" s="3"/>
    </row>
    <row r="94" spans="1:33" ht="12.75" customHeight="1">
      <c r="A94" s="277" t="s">
        <v>155</v>
      </c>
      <c r="B94" s="278"/>
      <c r="C94" s="278"/>
      <c r="D94" s="278"/>
      <c r="E94" s="278"/>
      <c r="F94" s="278"/>
      <c r="G94" s="278"/>
      <c r="H94" s="279"/>
      <c r="I94" s="247" t="s">
        <v>11</v>
      </c>
      <c r="J94" s="247"/>
      <c r="K94" s="247"/>
      <c r="L94" s="247"/>
      <c r="M94" s="248" t="s">
        <v>140</v>
      </c>
      <c r="N94" s="248"/>
      <c r="O94" s="247" t="s">
        <v>12</v>
      </c>
      <c r="P94" s="247"/>
      <c r="Q94" s="248" t="s">
        <v>68</v>
      </c>
      <c r="R94" s="248"/>
      <c r="S94" s="211" t="s">
        <v>147</v>
      </c>
      <c r="T94" s="201" t="s">
        <v>59</v>
      </c>
      <c r="U94" s="202"/>
      <c r="V94" s="67"/>
      <c r="W94" s="20"/>
      <c r="X94" s="20"/>
      <c r="AC94" s="17"/>
      <c r="AD94" s="17"/>
      <c r="AF94" s="4"/>
      <c r="AG94" s="4"/>
    </row>
    <row r="95" spans="1:33" ht="12.75">
      <c r="A95" s="280"/>
      <c r="B95" s="281"/>
      <c r="C95" s="281"/>
      <c r="D95" s="281"/>
      <c r="E95" s="281"/>
      <c r="F95" s="281"/>
      <c r="G95" s="281"/>
      <c r="H95" s="282"/>
      <c r="I95" s="247"/>
      <c r="J95" s="247"/>
      <c r="K95" s="247"/>
      <c r="L95" s="247"/>
      <c r="M95" s="248"/>
      <c r="N95" s="248"/>
      <c r="O95" s="247"/>
      <c r="P95" s="247"/>
      <c r="Q95" s="248"/>
      <c r="R95" s="248"/>
      <c r="S95" s="211"/>
      <c r="T95" s="201"/>
      <c r="U95" s="202"/>
      <c r="V95" s="67"/>
      <c r="W95" s="20"/>
      <c r="X95" s="20"/>
      <c r="AC95" s="17"/>
      <c r="AD95" s="17"/>
      <c r="AF95" s="4"/>
      <c r="AG95" s="4"/>
    </row>
    <row r="96" spans="1:33" ht="12.75">
      <c r="A96" s="280"/>
      <c r="B96" s="281"/>
      <c r="C96" s="281"/>
      <c r="D96" s="281"/>
      <c r="E96" s="281"/>
      <c r="F96" s="281"/>
      <c r="G96" s="281"/>
      <c r="H96" s="282"/>
      <c r="I96" s="247"/>
      <c r="J96" s="247"/>
      <c r="K96" s="247"/>
      <c r="L96" s="247"/>
      <c r="M96" s="248"/>
      <c r="N96" s="248"/>
      <c r="O96" s="247"/>
      <c r="P96" s="247"/>
      <c r="Q96" s="248"/>
      <c r="R96" s="248"/>
      <c r="S96" s="211"/>
      <c r="T96" s="201"/>
      <c r="U96" s="202"/>
      <c r="V96" s="67"/>
      <c r="W96" s="20"/>
      <c r="X96" s="20"/>
      <c r="AC96" s="17"/>
      <c r="AD96" s="17"/>
      <c r="AF96" s="4"/>
      <c r="AG96" s="4"/>
    </row>
    <row r="97" spans="1:33" ht="12.75">
      <c r="A97" s="283"/>
      <c r="B97" s="284"/>
      <c r="C97" s="284"/>
      <c r="D97" s="284"/>
      <c r="E97" s="284"/>
      <c r="F97" s="284"/>
      <c r="G97" s="284"/>
      <c r="H97" s="285"/>
      <c r="I97" s="247"/>
      <c r="J97" s="247"/>
      <c r="K97" s="247"/>
      <c r="L97" s="247"/>
      <c r="M97" s="248"/>
      <c r="N97" s="248"/>
      <c r="O97" s="247"/>
      <c r="P97" s="247"/>
      <c r="Q97" s="248"/>
      <c r="R97" s="248"/>
      <c r="S97" s="211"/>
      <c r="T97" s="201"/>
      <c r="U97" s="202"/>
      <c r="V97" s="67"/>
      <c r="W97" s="20"/>
      <c r="X97" s="20"/>
      <c r="AC97" s="17"/>
      <c r="AD97" s="17"/>
      <c r="AF97" s="4"/>
      <c r="AG97" s="4"/>
    </row>
    <row r="98" spans="1:28" ht="13.5" customHeight="1">
      <c r="A98" s="270"/>
      <c r="B98" s="271"/>
      <c r="C98" s="271"/>
      <c r="D98" s="271"/>
      <c r="E98" s="271"/>
      <c r="F98" s="271"/>
      <c r="G98" s="272"/>
      <c r="H98" s="99"/>
      <c r="I98" s="25"/>
      <c r="J98" s="13">
        <f>IF(Y98=TRUE,"Miles",IF(Z98=TRUE," Trips",""))</f>
      </c>
      <c r="K98" s="220"/>
      <c r="L98" s="220"/>
      <c r="M98" s="229"/>
      <c r="N98" s="229"/>
      <c r="O98" s="173">
        <f>IF(Y98=TRUE,(VLOOKUP(A98,PerMile_PerTripVehicle_Rates,2,FALSE))/H98,IF(Z98=TRUE,VLOOKUP(A98,PerMile_PerTripVehicle_Rates,2,FALSE),""))</f>
      </c>
      <c r="P98" s="173">
        <f>IF(AE98=TRUE,"Miles",IF(AF98=TRUE," Trips",""))</f>
      </c>
      <c r="Q98" s="14">
        <f>IF(K98="Per Span",1,IF(K98="Per Month",$N$8/30.4,IF(K98="Per Week",$N$8/7,"")))</f>
      </c>
      <c r="R98" s="14">
        <f>IF(K98="Per Span","Span",IF(K98="Per Month","Months",IF(K98="Per Week","Weeks","")))</f>
      </c>
      <c r="S98" s="14">
        <f>IF(I98="","",(I98*Q98)-M98)</f>
      </c>
      <c r="T98" s="173">
        <f>IF(O98="","",S98*O98)</f>
      </c>
      <c r="U98" s="199"/>
      <c r="V98" s="67"/>
      <c r="W98" s="12" t="str">
        <f>CONCATENATE(A98," - ",J98)</f>
        <v> - </v>
      </c>
      <c r="X98" s="21">
        <f>LEFT(A98,1)</f>
      </c>
      <c r="Y98" s="22" t="b">
        <f>OR(X98="N")</f>
        <v>0</v>
      </c>
      <c r="Z98" s="22" t="b">
        <f>OR(X98="T",X98="C",X98="V")</f>
        <v>0</v>
      </c>
      <c r="AA98" s="17"/>
      <c r="AB98" s="17"/>
    </row>
    <row r="99" spans="1:28" ht="13.5" customHeight="1">
      <c r="A99" s="214"/>
      <c r="B99" s="215"/>
      <c r="C99" s="215"/>
      <c r="D99" s="215"/>
      <c r="E99" s="215"/>
      <c r="F99" s="215"/>
      <c r="G99" s="216"/>
      <c r="H99" s="99"/>
      <c r="I99" s="25"/>
      <c r="J99" s="13">
        <f>IF(Y99=TRUE,"Miles",IF(Z99=TRUE," Trips",""))</f>
      </c>
      <c r="K99" s="220"/>
      <c r="L99" s="220"/>
      <c r="M99" s="229"/>
      <c r="N99" s="229"/>
      <c r="O99" s="173">
        <f>IF(Y99=TRUE,(VLOOKUP(A99,PerMile_PerTripVehicle_Rates,2,FALSE))/H99,IF(Z99=TRUE,VLOOKUP(A99,PerMile_PerTripVehicle_Rates,2,FALSE),""))</f>
      </c>
      <c r="P99" s="173">
        <f>IF(AE99=TRUE,"Miles",IF(AF99=TRUE," Trips",""))</f>
      </c>
      <c r="Q99" s="14">
        <f>IF(K99="Per Span",1,IF(K99="Per Month",$N$8/30.4,IF(K99="Per Week",$N$8/7,"")))</f>
      </c>
      <c r="R99" s="14">
        <f>IF(K99="Per Span","Span",IF(K99="Per Month","Months",IF(K99="Per Week","Weeks","")))</f>
      </c>
      <c r="S99" s="14">
        <f>IF(I99="","",(I99*Q99)-M99)</f>
      </c>
      <c r="T99" s="173">
        <f>IF(O99="","",S99*O99)</f>
      </c>
      <c r="U99" s="199"/>
      <c r="V99" s="67"/>
      <c r="W99" s="12" t="str">
        <f>CONCATENATE(A99," - ",J99)</f>
        <v> - </v>
      </c>
      <c r="X99" s="21">
        <f>LEFT(A99,1)</f>
      </c>
      <c r="Y99" s="22" t="b">
        <f>OR(X99="N")</f>
        <v>0</v>
      </c>
      <c r="Z99" s="22" t="b">
        <f>OR(X99="T",X99="C",X99="V")</f>
        <v>0</v>
      </c>
      <c r="AA99" s="17"/>
      <c r="AB99" s="17"/>
    </row>
    <row r="100" spans="1:28" ht="13.5" customHeight="1">
      <c r="A100" s="270"/>
      <c r="B100" s="271"/>
      <c r="C100" s="271"/>
      <c r="D100" s="271"/>
      <c r="E100" s="271"/>
      <c r="F100" s="271"/>
      <c r="G100" s="272"/>
      <c r="H100" s="99"/>
      <c r="I100" s="25"/>
      <c r="J100" s="13">
        <f>IF(Y100=TRUE,"Miles",IF(Z100=TRUE," Trips",""))</f>
      </c>
      <c r="K100" s="220"/>
      <c r="L100" s="220"/>
      <c r="M100" s="229"/>
      <c r="N100" s="229"/>
      <c r="O100" s="173">
        <f>IF(Y100=TRUE,(VLOOKUP(A100,PerMile_PerTripVehicle_Rates,2,FALSE))/H100,IF(Z100=TRUE,VLOOKUP(A100,PerMile_PerTripVehicle_Rates,2,FALSE),""))</f>
      </c>
      <c r="P100" s="173">
        <f>IF(AE100=TRUE,"Miles",IF(AF100=TRUE," Trips",""))</f>
      </c>
      <c r="Q100" s="14">
        <f>IF(K100="Per Span",1,IF(K100="Per Month",$N$8/30.4,IF(K100="Per Week",$N$8/7,"")))</f>
      </c>
      <c r="R100" s="14">
        <f>IF(K100="Per Span","Span",IF(K100="Per Month","Months",IF(K100="Per Week","Weeks","")))</f>
      </c>
      <c r="S100" s="14">
        <f>IF(I100="","",(I100*Q100)-M100)</f>
      </c>
      <c r="T100" s="173">
        <f>IF(O100="","",S100*O100)</f>
      </c>
      <c r="U100" s="199"/>
      <c r="V100" s="67"/>
      <c r="W100" s="12" t="str">
        <f>CONCATENATE(A100," - ",J100)</f>
        <v> - </v>
      </c>
      <c r="X100" s="21">
        <f>LEFT(A100,1)</f>
      </c>
      <c r="Y100" s="22" t="b">
        <f>OR(X100="N")</f>
        <v>0</v>
      </c>
      <c r="Z100" s="22" t="b">
        <f>OR(X100="T",X100="C",X100="V")</f>
        <v>0</v>
      </c>
      <c r="AA100" s="17"/>
      <c r="AB100" s="17"/>
    </row>
    <row r="101" spans="1:31" ht="13.5" customHeight="1">
      <c r="A101" s="230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2"/>
      <c r="V101" s="67"/>
      <c r="W101" s="17"/>
      <c r="X101" s="17"/>
      <c r="Y101" s="17"/>
      <c r="Z101" s="17"/>
      <c r="AD101" s="3"/>
      <c r="AE101" s="3"/>
    </row>
    <row r="102" spans="1:28" ht="12.75">
      <c r="A102" s="276" t="s">
        <v>81</v>
      </c>
      <c r="B102" s="248"/>
      <c r="C102" s="248"/>
      <c r="D102" s="248"/>
      <c r="E102" s="248"/>
      <c r="F102" s="248"/>
      <c r="G102" s="248"/>
      <c r="H102" s="248"/>
      <c r="I102" s="247" t="s">
        <v>11</v>
      </c>
      <c r="J102" s="247"/>
      <c r="K102" s="247"/>
      <c r="L102" s="247"/>
      <c r="M102" s="248" t="s">
        <v>140</v>
      </c>
      <c r="N102" s="248"/>
      <c r="O102" s="247" t="s">
        <v>12</v>
      </c>
      <c r="P102" s="247"/>
      <c r="Q102" s="248" t="s">
        <v>68</v>
      </c>
      <c r="R102" s="248"/>
      <c r="S102" s="211" t="s">
        <v>147</v>
      </c>
      <c r="T102" s="201" t="s">
        <v>59</v>
      </c>
      <c r="U102" s="202"/>
      <c r="V102" s="67"/>
      <c r="W102" s="20"/>
      <c r="X102" s="23"/>
      <c r="Y102" s="17"/>
      <c r="Z102" s="17"/>
      <c r="AA102" s="17"/>
      <c r="AB102" s="17"/>
    </row>
    <row r="103" spans="1:28" ht="12.75">
      <c r="A103" s="276"/>
      <c r="B103" s="248"/>
      <c r="C103" s="248"/>
      <c r="D103" s="248"/>
      <c r="E103" s="248"/>
      <c r="F103" s="248"/>
      <c r="G103" s="248"/>
      <c r="H103" s="248"/>
      <c r="I103" s="247"/>
      <c r="J103" s="247"/>
      <c r="K103" s="247"/>
      <c r="L103" s="247"/>
      <c r="M103" s="248"/>
      <c r="N103" s="248"/>
      <c r="O103" s="247"/>
      <c r="P103" s="247"/>
      <c r="Q103" s="248"/>
      <c r="R103" s="248"/>
      <c r="S103" s="211"/>
      <c r="T103" s="201"/>
      <c r="U103" s="202"/>
      <c r="V103" s="67"/>
      <c r="W103" s="20"/>
      <c r="X103" s="23"/>
      <c r="Y103" s="17"/>
      <c r="Z103" s="17"/>
      <c r="AA103" s="17"/>
      <c r="AB103" s="17"/>
    </row>
    <row r="104" spans="1:28" ht="12.75">
      <c r="A104" s="276"/>
      <c r="B104" s="248"/>
      <c r="C104" s="248"/>
      <c r="D104" s="248"/>
      <c r="E104" s="248"/>
      <c r="F104" s="248"/>
      <c r="G104" s="248"/>
      <c r="H104" s="248"/>
      <c r="I104" s="247"/>
      <c r="J104" s="247"/>
      <c r="K104" s="247"/>
      <c r="L104" s="247"/>
      <c r="M104" s="248"/>
      <c r="N104" s="248"/>
      <c r="O104" s="247"/>
      <c r="P104" s="247"/>
      <c r="Q104" s="248"/>
      <c r="R104" s="248"/>
      <c r="S104" s="211"/>
      <c r="T104" s="201"/>
      <c r="U104" s="202"/>
      <c r="V104" s="67"/>
      <c r="W104" s="20"/>
      <c r="X104" s="23"/>
      <c r="Y104" s="17"/>
      <c r="Z104" s="17"/>
      <c r="AA104" s="17"/>
      <c r="AB104" s="17"/>
    </row>
    <row r="105" spans="1:26" ht="12.75">
      <c r="A105" s="276"/>
      <c r="B105" s="248"/>
      <c r="C105" s="248"/>
      <c r="D105" s="248"/>
      <c r="E105" s="248"/>
      <c r="F105" s="248"/>
      <c r="G105" s="248"/>
      <c r="H105" s="248"/>
      <c r="I105" s="247"/>
      <c r="J105" s="247"/>
      <c r="K105" s="247"/>
      <c r="L105" s="247"/>
      <c r="M105" s="248"/>
      <c r="N105" s="248"/>
      <c r="O105" s="247"/>
      <c r="P105" s="247"/>
      <c r="Q105" s="248"/>
      <c r="R105" s="248"/>
      <c r="S105" s="211"/>
      <c r="T105" s="201"/>
      <c r="U105" s="202"/>
      <c r="V105" s="67"/>
      <c r="W105" s="20"/>
      <c r="X105" s="23"/>
      <c r="Y105" s="17"/>
      <c r="Z105" s="17"/>
    </row>
    <row r="106" spans="1:26" ht="13.5" customHeight="1">
      <c r="A106" s="236"/>
      <c r="B106" s="237"/>
      <c r="C106" s="237"/>
      <c r="D106" s="237"/>
      <c r="E106" s="237"/>
      <c r="F106" s="237"/>
      <c r="G106" s="237"/>
      <c r="H106" s="237"/>
      <c r="I106" s="25"/>
      <c r="J106" s="13">
        <f>IF(Y106=TRUE,"Miles",IF(Z106=TRUE," Trips",""))</f>
      </c>
      <c r="K106" s="220"/>
      <c r="L106" s="220"/>
      <c r="M106" s="229"/>
      <c r="N106" s="229"/>
      <c r="O106" s="174"/>
      <c r="P106" s="174"/>
      <c r="Q106" s="14">
        <f>IF(K106="Per Span",1,IF(K106="Per Month",$N$8/30.4,IF(K106="Per Week",$N$8/7,"")))</f>
      </c>
      <c r="R106" s="14">
        <f>IF(K106="Per Span","Span",IF(K106="Per Month","Months",IF(K106="Per Week","Weeks","")))</f>
      </c>
      <c r="S106" s="14">
        <f>IF(I106="","",(I106*Q106)-M106)</f>
      </c>
      <c r="T106" s="173">
        <f>IF(O106="","",S106*O106)</f>
      </c>
      <c r="U106" s="199"/>
      <c r="V106" s="67"/>
      <c r="W106" s="12">
        <f>IF(A106="","",CONCATENATE(A106," - ",J106))</f>
      </c>
      <c r="X106" s="21">
        <f>LEFT(A106,1)</f>
      </c>
      <c r="Y106" s="22" t="b">
        <f>OR(X106="N")</f>
        <v>0</v>
      </c>
      <c r="Z106" s="22" t="b">
        <f>OR(X106="T",X106="C",X106="V")</f>
        <v>0</v>
      </c>
    </row>
    <row r="107" spans="1:26" ht="13.5" customHeight="1">
      <c r="A107" s="236"/>
      <c r="B107" s="237"/>
      <c r="C107" s="237"/>
      <c r="D107" s="237"/>
      <c r="E107" s="237"/>
      <c r="F107" s="237"/>
      <c r="G107" s="237"/>
      <c r="H107" s="237"/>
      <c r="I107" s="25"/>
      <c r="J107" s="13">
        <f>IF(Y107=TRUE,"Miles",IF(Z107=TRUE," Trips",""))</f>
      </c>
      <c r="K107" s="220"/>
      <c r="L107" s="220"/>
      <c r="M107" s="229"/>
      <c r="N107" s="229"/>
      <c r="O107" s="174"/>
      <c r="P107" s="174"/>
      <c r="Q107" s="14">
        <f>IF(K107="Per Span",1,IF(K107="Per Month",$N$8/30.4,IF(K107="Per Week",$N$8/7,"")))</f>
      </c>
      <c r="R107" s="14">
        <f>IF(K107="Per Span","Span",IF(K107="Per Month","Months",IF(K107="Per Week","Weeks","")))</f>
      </c>
      <c r="S107" s="14">
        <f>IF(I107="","",(I107*Q107)-M107)</f>
      </c>
      <c r="T107" s="173">
        <f>IF(O107="","",S107*O107)</f>
      </c>
      <c r="U107" s="199"/>
      <c r="V107" s="67"/>
      <c r="W107" s="12">
        <f>IF(A107="","",CONCATENATE(A107," - ",J107))</f>
      </c>
      <c r="X107" s="21">
        <f>LEFT(A107,1)</f>
      </c>
      <c r="Y107" s="22" t="b">
        <f>OR(X107="N")</f>
        <v>0</v>
      </c>
      <c r="Z107" s="22" t="b">
        <f>OR(X107="T",X107="C",X107="V")</f>
        <v>0</v>
      </c>
    </row>
    <row r="108" spans="1:30" ht="13.5" customHeight="1">
      <c r="A108" s="236"/>
      <c r="B108" s="237"/>
      <c r="C108" s="237"/>
      <c r="D108" s="237"/>
      <c r="E108" s="237"/>
      <c r="F108" s="237"/>
      <c r="G108" s="237"/>
      <c r="H108" s="237"/>
      <c r="I108" s="25"/>
      <c r="J108" s="13">
        <f>IF(Y108=TRUE,"Miles",IF(Z108=TRUE," Trips",""))</f>
      </c>
      <c r="K108" s="220"/>
      <c r="L108" s="220"/>
      <c r="M108" s="229"/>
      <c r="N108" s="229"/>
      <c r="O108" s="174"/>
      <c r="P108" s="174"/>
      <c r="Q108" s="14">
        <f>IF(K108="Per Span",1,IF(K108="Per Month",$N$8/30.4,IF(K108="Per Week",$N$8/7,"")))</f>
      </c>
      <c r="R108" s="14">
        <f>IF(K108="Per Span","Span",IF(K108="Per Month","Months",IF(K108="Per Week","Weeks","")))</f>
      </c>
      <c r="S108" s="14">
        <f>IF(I108="","",(I108*Q108)-M108)</f>
      </c>
      <c r="T108" s="173">
        <f>IF(O108="","",S108*O108)</f>
      </c>
      <c r="U108" s="199"/>
      <c r="V108" s="67"/>
      <c r="W108" s="12">
        <f>IF(A108="","",CONCATENATE(A108," - ",J108))</f>
      </c>
      <c r="X108" s="21">
        <f>LEFT(A108,1)</f>
      </c>
      <c r="Y108" s="22" t="b">
        <f>OR(X108="N")</f>
        <v>0</v>
      </c>
      <c r="Z108" s="22" t="b">
        <f>OR(X108="T",X108="C",X108="V")</f>
        <v>0</v>
      </c>
      <c r="AA108" s="20"/>
      <c r="AB108" s="20"/>
      <c r="AC108" s="20"/>
      <c r="AD108" s="20"/>
    </row>
    <row r="109" spans="1:30" ht="13.5" thickBot="1">
      <c r="A109" s="238" t="s">
        <v>145</v>
      </c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12">
        <f>SUM(T98:U100,T106:U108)</f>
        <v>0</v>
      </c>
      <c r="U109" s="213"/>
      <c r="V109" s="67"/>
      <c r="Y109" s="17"/>
      <c r="AA109" s="20"/>
      <c r="AB109" s="20"/>
      <c r="AC109" s="20"/>
      <c r="AD109" s="20"/>
    </row>
    <row r="110" spans="1:30" ht="15" customHeight="1" thickBot="1">
      <c r="A110" s="208"/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10"/>
      <c r="V110" s="1"/>
      <c r="W110" s="1"/>
      <c r="X110" s="1"/>
      <c r="Y110" s="17"/>
      <c r="Z110" s="1"/>
      <c r="AA110" s="20"/>
      <c r="AB110" s="20"/>
      <c r="AC110" s="20"/>
      <c r="AD110" s="20"/>
    </row>
    <row r="111" spans="1:31" ht="24" customHeight="1">
      <c r="A111" s="274" t="s">
        <v>71</v>
      </c>
      <c r="B111" s="275"/>
      <c r="C111" s="275"/>
      <c r="D111" s="275"/>
      <c r="E111" s="275"/>
      <c r="F111" s="275"/>
      <c r="G111" s="275"/>
      <c r="H111" s="225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7"/>
      <c r="V111" s="67"/>
      <c r="W111" s="23"/>
      <c r="X111" s="17"/>
      <c r="Y111" s="17"/>
      <c r="Z111" s="20"/>
      <c r="AA111" s="20"/>
      <c r="AB111" s="20"/>
      <c r="AC111" s="20"/>
      <c r="AE111" s="3"/>
    </row>
    <row r="112" spans="1:33" ht="12.75" customHeight="1">
      <c r="A112" s="277" t="s">
        <v>155</v>
      </c>
      <c r="B112" s="278"/>
      <c r="C112" s="278"/>
      <c r="D112" s="278"/>
      <c r="E112" s="278"/>
      <c r="F112" s="278"/>
      <c r="G112" s="278"/>
      <c r="H112" s="279"/>
      <c r="I112" s="247" t="s">
        <v>11</v>
      </c>
      <c r="J112" s="247"/>
      <c r="K112" s="247"/>
      <c r="L112" s="247"/>
      <c r="M112" s="248" t="s">
        <v>140</v>
      </c>
      <c r="N112" s="248"/>
      <c r="O112" s="247" t="s">
        <v>12</v>
      </c>
      <c r="P112" s="247"/>
      <c r="Q112" s="248" t="s">
        <v>68</v>
      </c>
      <c r="R112" s="248"/>
      <c r="S112" s="211" t="s">
        <v>147</v>
      </c>
      <c r="T112" s="201" t="s">
        <v>59</v>
      </c>
      <c r="U112" s="202"/>
      <c r="V112" s="67"/>
      <c r="W112" s="20"/>
      <c r="X112" s="20"/>
      <c r="AA112" s="17"/>
      <c r="AB112" s="17"/>
      <c r="AC112" s="20"/>
      <c r="AD112" s="20"/>
      <c r="AE112" s="20"/>
      <c r="AF112" s="20"/>
      <c r="AG112" s="4"/>
    </row>
    <row r="113" spans="1:33" ht="12.75" customHeight="1">
      <c r="A113" s="280"/>
      <c r="B113" s="281"/>
      <c r="C113" s="281"/>
      <c r="D113" s="281"/>
      <c r="E113" s="281"/>
      <c r="F113" s="281"/>
      <c r="G113" s="281"/>
      <c r="H113" s="282"/>
      <c r="I113" s="247"/>
      <c r="J113" s="247"/>
      <c r="K113" s="247"/>
      <c r="L113" s="247"/>
      <c r="M113" s="248"/>
      <c r="N113" s="248"/>
      <c r="O113" s="247"/>
      <c r="P113" s="247"/>
      <c r="Q113" s="248"/>
      <c r="R113" s="248"/>
      <c r="S113" s="211"/>
      <c r="T113" s="201"/>
      <c r="U113" s="202"/>
      <c r="V113" s="67"/>
      <c r="W113" s="20"/>
      <c r="X113" s="20"/>
      <c r="AA113" s="17"/>
      <c r="AB113" s="17"/>
      <c r="AC113" s="20"/>
      <c r="AD113" s="20"/>
      <c r="AE113" s="20"/>
      <c r="AF113" s="20"/>
      <c r="AG113" s="4"/>
    </row>
    <row r="114" spans="1:33" ht="12.75" customHeight="1">
      <c r="A114" s="280"/>
      <c r="B114" s="281"/>
      <c r="C114" s="281"/>
      <c r="D114" s="281"/>
      <c r="E114" s="281"/>
      <c r="F114" s="281"/>
      <c r="G114" s="281"/>
      <c r="H114" s="282"/>
      <c r="I114" s="247"/>
      <c r="J114" s="247"/>
      <c r="K114" s="247"/>
      <c r="L114" s="247"/>
      <c r="M114" s="248"/>
      <c r="N114" s="248"/>
      <c r="O114" s="247"/>
      <c r="P114" s="247"/>
      <c r="Q114" s="248"/>
      <c r="R114" s="248"/>
      <c r="S114" s="211"/>
      <c r="T114" s="201"/>
      <c r="U114" s="202"/>
      <c r="V114" s="67"/>
      <c r="W114" s="20"/>
      <c r="X114" s="20"/>
      <c r="AA114" s="17"/>
      <c r="AB114" s="17"/>
      <c r="AC114" s="20"/>
      <c r="AD114" s="20"/>
      <c r="AE114" s="20"/>
      <c r="AF114" s="20"/>
      <c r="AG114" s="4"/>
    </row>
    <row r="115" spans="1:33" ht="12.75">
      <c r="A115" s="283"/>
      <c r="B115" s="284"/>
      <c r="C115" s="284"/>
      <c r="D115" s="284"/>
      <c r="E115" s="284"/>
      <c r="F115" s="284"/>
      <c r="G115" s="284"/>
      <c r="H115" s="285"/>
      <c r="I115" s="247"/>
      <c r="J115" s="247"/>
      <c r="K115" s="247"/>
      <c r="L115" s="247"/>
      <c r="M115" s="248"/>
      <c r="N115" s="248"/>
      <c r="O115" s="247"/>
      <c r="P115" s="247"/>
      <c r="Q115" s="248"/>
      <c r="R115" s="248"/>
      <c r="S115" s="211"/>
      <c r="T115" s="201"/>
      <c r="U115" s="202"/>
      <c r="V115" s="67"/>
      <c r="W115" s="20"/>
      <c r="X115" s="20"/>
      <c r="AA115" s="20"/>
      <c r="AB115" s="20"/>
      <c r="AC115" s="20"/>
      <c r="AD115" s="20"/>
      <c r="AE115" s="20"/>
      <c r="AF115" s="20"/>
      <c r="AG115" s="4"/>
    </row>
    <row r="116" spans="1:30" ht="13.5" customHeight="1">
      <c r="A116" s="270"/>
      <c r="B116" s="271"/>
      <c r="C116" s="271"/>
      <c r="D116" s="271"/>
      <c r="E116" s="271"/>
      <c r="F116" s="271"/>
      <c r="G116" s="272"/>
      <c r="H116" s="99"/>
      <c r="I116" s="25"/>
      <c r="J116" s="13">
        <f>IF(Y116=TRUE,"Miles",IF(Z116=TRUE," Trips",""))</f>
      </c>
      <c r="K116" s="220"/>
      <c r="L116" s="220"/>
      <c r="M116" s="229"/>
      <c r="N116" s="229"/>
      <c r="O116" s="173">
        <f>IF(Y116=TRUE,(VLOOKUP(A116,PerMile_PerTripVehicle_Rates,2,FALSE))/H116,IF(Z116=TRUE,VLOOKUP(A116,PerMile_PerTripVehicle_Rates,2,FALSE),""))</f>
      </c>
      <c r="P116" s="173">
        <f>IF(AE116=TRUE,"Miles",IF(AF116=TRUE," Trips",""))</f>
      </c>
      <c r="Q116" s="14">
        <f>IF(K116="Per Span",1,IF(K116="Per Month",$N$8/30.4,IF(K116="Per Week",$N$8/7,"")))</f>
      </c>
      <c r="R116" s="14">
        <f>IF(K116="Per Span","Span",IF(K116="Per Month","Months",IF(K116="Per Week","Weeks","")))</f>
      </c>
      <c r="S116" s="14">
        <f>IF(I116="","",(I116*Q116)-M116)</f>
      </c>
      <c r="T116" s="173">
        <f>IF(O116="","",S116*O116)</f>
      </c>
      <c r="U116" s="199"/>
      <c r="V116" s="67"/>
      <c r="W116" s="12" t="str">
        <f>CONCATENATE(A116," - ",J116)</f>
        <v> - </v>
      </c>
      <c r="X116" s="21">
        <f>LEFT(A116,1)</f>
      </c>
      <c r="Y116" s="22" t="b">
        <f>OR(X116="N")</f>
        <v>0</v>
      </c>
      <c r="Z116" s="22" t="b">
        <f>OR(X116="T",X116="C",X116="V")</f>
        <v>0</v>
      </c>
      <c r="AA116" s="20"/>
      <c r="AB116" s="20"/>
      <c r="AC116" s="20"/>
      <c r="AD116" s="20"/>
    </row>
    <row r="117" spans="1:30" ht="13.5" customHeight="1">
      <c r="A117" s="214"/>
      <c r="B117" s="215"/>
      <c r="C117" s="215"/>
      <c r="D117" s="215"/>
      <c r="E117" s="215"/>
      <c r="F117" s="215"/>
      <c r="G117" s="216"/>
      <c r="H117" s="99"/>
      <c r="I117" s="25"/>
      <c r="J117" s="13">
        <f>IF(Y117=TRUE,"Miles",IF(Z117=TRUE," Trips",""))</f>
      </c>
      <c r="K117" s="220"/>
      <c r="L117" s="220"/>
      <c r="M117" s="229"/>
      <c r="N117" s="229"/>
      <c r="O117" s="173">
        <f>IF(Y117=TRUE,(VLOOKUP(A117,PerMile_PerTripVehicle_Rates,2,FALSE))/H117,IF(Z117=TRUE,VLOOKUP(A117,PerMile_PerTripVehicle_Rates,2,FALSE),""))</f>
      </c>
      <c r="P117" s="173">
        <f>IF(AE117=TRUE,"Miles",IF(AF117=TRUE," Trips",""))</f>
      </c>
      <c r="Q117" s="14">
        <f>IF(K117="Per Span",1,IF(K117="Per Month",$N$8/30.4,IF(K117="Per Week",$N$8/7,"")))</f>
      </c>
      <c r="R117" s="14">
        <f>IF(K117="Per Span","Span",IF(K117="Per Month","Months",IF(K117="Per Week","Weeks","")))</f>
      </c>
      <c r="S117" s="14">
        <f>IF(I117="","",(I117*Q117)-M117)</f>
      </c>
      <c r="T117" s="173">
        <f>IF(O117="","",S117*O117)</f>
      </c>
      <c r="U117" s="199"/>
      <c r="V117" s="67"/>
      <c r="W117" s="12" t="str">
        <f>CONCATENATE(A117," - ",J117)</f>
        <v> - </v>
      </c>
      <c r="X117" s="21">
        <f>LEFT(A117,1)</f>
      </c>
      <c r="Y117" s="22" t="b">
        <f>OR(X117="N")</f>
        <v>0</v>
      </c>
      <c r="Z117" s="22" t="b">
        <f>OR(X117="T",X117="C",X117="V")</f>
        <v>0</v>
      </c>
      <c r="AA117" s="20"/>
      <c r="AB117" s="20"/>
      <c r="AC117" s="20"/>
      <c r="AD117" s="20"/>
    </row>
    <row r="118" spans="1:26" ht="13.5" customHeight="1">
      <c r="A118" s="270"/>
      <c r="B118" s="271"/>
      <c r="C118" s="271"/>
      <c r="D118" s="271"/>
      <c r="E118" s="271"/>
      <c r="F118" s="271"/>
      <c r="G118" s="272"/>
      <c r="H118" s="99"/>
      <c r="I118" s="25"/>
      <c r="J118" s="13">
        <f>IF(Y118=TRUE,"Miles",IF(Z118=TRUE," Trips",""))</f>
      </c>
      <c r="K118" s="220"/>
      <c r="L118" s="220"/>
      <c r="M118" s="229"/>
      <c r="N118" s="229"/>
      <c r="O118" s="173">
        <f>IF(Y118=TRUE,(VLOOKUP(A118,PerMile_PerTripVehicle_Rates,2,FALSE))/H118,IF(Z118=TRUE,VLOOKUP(A118,PerMile_PerTripVehicle_Rates,2,FALSE),""))</f>
      </c>
      <c r="P118" s="173">
        <f>IF(AE118=TRUE,"Miles",IF(AF118=TRUE," Trips",""))</f>
      </c>
      <c r="Q118" s="14">
        <f>IF(K118="Per Span",1,IF(K118="Per Month",$N$8/30.4,IF(K118="Per Week",$N$8/7,"")))</f>
      </c>
      <c r="R118" s="14">
        <f>IF(K118="Per Span","Span",IF(K118="Per Month","Months",IF(K118="Per Week","Weeks","")))</f>
      </c>
      <c r="S118" s="14">
        <f>IF(I118="","",(I118*Q118)-M118)</f>
      </c>
      <c r="T118" s="173">
        <f>IF(O118="","",S118*O118)</f>
      </c>
      <c r="U118" s="199"/>
      <c r="V118" s="67"/>
      <c r="W118" s="12" t="str">
        <f>CONCATENATE(A118," - ",J118)</f>
        <v> - </v>
      </c>
      <c r="X118" s="21">
        <f>LEFT(A118,1)</f>
      </c>
      <c r="Y118" s="22" t="b">
        <f>OR(X118="N")</f>
        <v>0</v>
      </c>
      <c r="Z118" s="22" t="b">
        <f>OR(X118="T",X118="C",X118="V")</f>
        <v>0</v>
      </c>
    </row>
    <row r="119" spans="1:31" ht="13.5" customHeight="1">
      <c r="A119" s="295"/>
      <c r="B119" s="296"/>
      <c r="C119" s="296"/>
      <c r="D119" s="296"/>
      <c r="E119" s="296"/>
      <c r="F119" s="296"/>
      <c r="G119" s="296"/>
      <c r="H119" s="296"/>
      <c r="I119" s="296"/>
      <c r="J119" s="296"/>
      <c r="K119" s="296"/>
      <c r="L119" s="296"/>
      <c r="M119" s="296"/>
      <c r="N119" s="296"/>
      <c r="O119" s="296"/>
      <c r="P119" s="296"/>
      <c r="Q119" s="296"/>
      <c r="R119" s="296"/>
      <c r="S119" s="296"/>
      <c r="T119" s="296"/>
      <c r="U119" s="297"/>
      <c r="V119" s="81"/>
      <c r="Y119" s="17"/>
      <c r="AC119" s="3"/>
      <c r="AD119" s="3"/>
      <c r="AE119" s="3"/>
    </row>
    <row r="120" spans="1:26" ht="12.75" customHeight="1">
      <c r="A120" s="276" t="s">
        <v>81</v>
      </c>
      <c r="B120" s="248"/>
      <c r="C120" s="248"/>
      <c r="D120" s="248"/>
      <c r="E120" s="248"/>
      <c r="F120" s="248"/>
      <c r="G120" s="248"/>
      <c r="H120" s="248"/>
      <c r="I120" s="247" t="s">
        <v>11</v>
      </c>
      <c r="J120" s="247"/>
      <c r="K120" s="247"/>
      <c r="L120" s="247"/>
      <c r="M120" s="248" t="s">
        <v>140</v>
      </c>
      <c r="N120" s="248"/>
      <c r="O120" s="247" t="s">
        <v>12</v>
      </c>
      <c r="P120" s="247"/>
      <c r="Q120" s="248" t="s">
        <v>68</v>
      </c>
      <c r="R120" s="248"/>
      <c r="S120" s="211" t="s">
        <v>147</v>
      </c>
      <c r="T120" s="201" t="s">
        <v>59</v>
      </c>
      <c r="U120" s="202"/>
      <c r="V120" s="67"/>
      <c r="W120" s="20"/>
      <c r="X120" s="23"/>
      <c r="Y120" s="17"/>
      <c r="Z120" s="17"/>
    </row>
    <row r="121" spans="1:26" ht="12.75" customHeight="1">
      <c r="A121" s="276"/>
      <c r="B121" s="248"/>
      <c r="C121" s="248"/>
      <c r="D121" s="248"/>
      <c r="E121" s="248"/>
      <c r="F121" s="248"/>
      <c r="G121" s="248"/>
      <c r="H121" s="248"/>
      <c r="I121" s="247"/>
      <c r="J121" s="247"/>
      <c r="K121" s="247"/>
      <c r="L121" s="247"/>
      <c r="M121" s="248"/>
      <c r="N121" s="248"/>
      <c r="O121" s="247"/>
      <c r="P121" s="247"/>
      <c r="Q121" s="248"/>
      <c r="R121" s="248"/>
      <c r="S121" s="211"/>
      <c r="T121" s="201"/>
      <c r="U121" s="202"/>
      <c r="V121" s="67"/>
      <c r="W121" s="20"/>
      <c r="X121" s="23"/>
      <c r="Y121" s="17"/>
      <c r="Z121" s="17"/>
    </row>
    <row r="122" spans="1:26" ht="12.75" customHeight="1">
      <c r="A122" s="276"/>
      <c r="B122" s="248"/>
      <c r="C122" s="248"/>
      <c r="D122" s="248"/>
      <c r="E122" s="248"/>
      <c r="F122" s="248"/>
      <c r="G122" s="248"/>
      <c r="H122" s="248"/>
      <c r="I122" s="247"/>
      <c r="J122" s="247"/>
      <c r="K122" s="247"/>
      <c r="L122" s="247"/>
      <c r="M122" s="248"/>
      <c r="N122" s="248"/>
      <c r="O122" s="247"/>
      <c r="P122" s="247"/>
      <c r="Q122" s="248"/>
      <c r="R122" s="248"/>
      <c r="S122" s="211"/>
      <c r="T122" s="201"/>
      <c r="U122" s="202"/>
      <c r="V122" s="67"/>
      <c r="W122" s="20"/>
      <c r="X122" s="23"/>
      <c r="Y122" s="17"/>
      <c r="Z122" s="17"/>
    </row>
    <row r="123" spans="1:26" ht="12.75">
      <c r="A123" s="276"/>
      <c r="B123" s="248"/>
      <c r="C123" s="248"/>
      <c r="D123" s="248"/>
      <c r="E123" s="248"/>
      <c r="F123" s="248"/>
      <c r="G123" s="248"/>
      <c r="H123" s="248"/>
      <c r="I123" s="247"/>
      <c r="J123" s="247"/>
      <c r="K123" s="247"/>
      <c r="L123" s="247"/>
      <c r="M123" s="248"/>
      <c r="N123" s="248"/>
      <c r="O123" s="247"/>
      <c r="P123" s="247"/>
      <c r="Q123" s="248"/>
      <c r="R123" s="248"/>
      <c r="S123" s="211"/>
      <c r="T123" s="201"/>
      <c r="U123" s="202"/>
      <c r="V123" s="67"/>
      <c r="W123" s="20"/>
      <c r="X123" s="23"/>
      <c r="Y123" s="17"/>
      <c r="Z123" s="17"/>
    </row>
    <row r="124" spans="1:26" ht="13.5" customHeight="1">
      <c r="A124" s="236"/>
      <c r="B124" s="237"/>
      <c r="C124" s="237"/>
      <c r="D124" s="237"/>
      <c r="E124" s="237"/>
      <c r="F124" s="237"/>
      <c r="G124" s="237"/>
      <c r="H124" s="237"/>
      <c r="I124" s="25"/>
      <c r="J124" s="13">
        <f>IF(Y124=TRUE,"Miles",IF(Z124=TRUE," Trips",""))</f>
      </c>
      <c r="K124" s="220"/>
      <c r="L124" s="220"/>
      <c r="M124" s="229"/>
      <c r="N124" s="229"/>
      <c r="O124" s="174"/>
      <c r="P124" s="174"/>
      <c r="Q124" s="14">
        <f>IF(K124="Per Span",1,IF(K124="Per Month",$N$8/30.4,IF(K124="Per Week",$N$8/7,"")))</f>
      </c>
      <c r="R124" s="14">
        <f>IF(K124="Per Span","Span",IF(K124="Per Month","Months",IF(K124="Per Week","Weeks","")))</f>
      </c>
      <c r="S124" s="14">
        <f>IF(I124="","",(I124*Q124)-M124)</f>
      </c>
      <c r="T124" s="173">
        <f>IF(O124="","",S124*O124)</f>
      </c>
      <c r="U124" s="199"/>
      <c r="V124" s="67"/>
      <c r="W124" s="12">
        <f>IF(A124="","",CONCATENATE(A124," - ",J124))</f>
      </c>
      <c r="X124" s="21">
        <f>LEFT(A124,1)</f>
      </c>
      <c r="Y124" s="22" t="b">
        <f>OR(X124="N")</f>
        <v>0</v>
      </c>
      <c r="Z124" s="22" t="b">
        <f>OR(X124="T",X124="C",X124="V")</f>
        <v>0</v>
      </c>
    </row>
    <row r="125" spans="1:26" ht="13.5" customHeight="1">
      <c r="A125" s="236"/>
      <c r="B125" s="237"/>
      <c r="C125" s="237"/>
      <c r="D125" s="237"/>
      <c r="E125" s="237"/>
      <c r="F125" s="237"/>
      <c r="G125" s="237"/>
      <c r="H125" s="237"/>
      <c r="I125" s="25"/>
      <c r="J125" s="13">
        <f>IF(Y125=TRUE,"Miles",IF(Z125=TRUE," Trips",""))</f>
      </c>
      <c r="K125" s="220"/>
      <c r="L125" s="220"/>
      <c r="M125" s="229"/>
      <c r="N125" s="229"/>
      <c r="O125" s="174"/>
      <c r="P125" s="174"/>
      <c r="Q125" s="14">
        <f>IF(K125="Per Span",1,IF(K125="Per Month",$N$8/30.4,IF(K125="Per Week",$N$8/7,"")))</f>
      </c>
      <c r="R125" s="14">
        <f>IF(K125="Per Span","Span",IF(K125="Per Month","Months",IF(K125="Per Week","Weeks","")))</f>
      </c>
      <c r="S125" s="14">
        <f>IF(I125="","",(I125*Q125)-M125)</f>
      </c>
      <c r="T125" s="173">
        <f>IF(O125="","",S125*O125)</f>
      </c>
      <c r="U125" s="199"/>
      <c r="V125" s="67"/>
      <c r="W125" s="12">
        <f>IF(A125="","",CONCATENATE(A125," - ",J125))</f>
      </c>
      <c r="X125" s="21">
        <f>LEFT(A125,1)</f>
      </c>
      <c r="Y125" s="22" t="b">
        <f>OR(X125="N")</f>
        <v>0</v>
      </c>
      <c r="Z125" s="22" t="b">
        <f>OR(X125="T",X125="C",X125="V")</f>
        <v>0</v>
      </c>
    </row>
    <row r="126" spans="1:26" ht="13.5" customHeight="1">
      <c r="A126" s="236"/>
      <c r="B126" s="237"/>
      <c r="C126" s="237"/>
      <c r="D126" s="237"/>
      <c r="E126" s="237"/>
      <c r="F126" s="237"/>
      <c r="G126" s="237"/>
      <c r="H126" s="237"/>
      <c r="I126" s="25"/>
      <c r="J126" s="13">
        <f>IF(Y126=TRUE,"Miles",IF(Z126=TRUE," Trips",""))</f>
      </c>
      <c r="K126" s="220"/>
      <c r="L126" s="220"/>
      <c r="M126" s="229"/>
      <c r="N126" s="229"/>
      <c r="O126" s="174"/>
      <c r="P126" s="174"/>
      <c r="Q126" s="14">
        <f>IF(K126="Per Span",1,IF(K126="Per Month",$N$8/30.4,IF(K126="Per Week",$N$8/7,"")))</f>
      </c>
      <c r="R126" s="14">
        <f>IF(K126="Per Span","Span",IF(K126="Per Month","Months",IF(K126="Per Week","Weeks","")))</f>
      </c>
      <c r="S126" s="14">
        <f>IF(I126="","",(I126*Q126)-M126)</f>
      </c>
      <c r="T126" s="173">
        <f>IF(O126="","",S126*O126)</f>
      </c>
      <c r="U126" s="199"/>
      <c r="V126" s="67"/>
      <c r="W126" s="12">
        <f>IF(A126="","",CONCATENATE(A126," - ",J126))</f>
      </c>
      <c r="X126" s="21">
        <f>LEFT(A126,1)</f>
      </c>
      <c r="Y126" s="22" t="b">
        <f>OR(X126="N")</f>
        <v>0</v>
      </c>
      <c r="Z126" s="22" t="b">
        <f>OR(X126="T",X126="C",X126="V")</f>
        <v>0</v>
      </c>
    </row>
    <row r="127" spans="1:22" ht="13.5" thickBot="1">
      <c r="A127" s="238" t="s">
        <v>146</v>
      </c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12">
        <f>SUM(T116:U118,T124:U126)</f>
        <v>0</v>
      </c>
      <c r="U127" s="213"/>
      <c r="V127" s="67"/>
    </row>
    <row r="128" spans="1:21" ht="15" customHeight="1">
      <c r="A128" s="208"/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10"/>
    </row>
    <row r="129" spans="1:33" ht="18">
      <c r="A129" s="151"/>
      <c r="B129" s="152"/>
      <c r="C129" s="152"/>
      <c r="D129" s="240"/>
      <c r="E129" s="206" t="s">
        <v>82</v>
      </c>
      <c r="F129" s="207"/>
      <c r="G129" s="207"/>
      <c r="H129" s="207"/>
      <c r="I129" s="207"/>
      <c r="J129" s="207"/>
      <c r="K129" s="207"/>
      <c r="L129" s="207"/>
      <c r="M129" s="207"/>
      <c r="N129" s="234">
        <f>SUM(T109,T127)</f>
        <v>0</v>
      </c>
      <c r="O129" s="234"/>
      <c r="P129" s="234"/>
      <c r="Q129" s="235"/>
      <c r="R129" s="188"/>
      <c r="S129" s="152"/>
      <c r="T129" s="152"/>
      <c r="U129" s="153"/>
      <c r="W129" s="20"/>
      <c r="X129" s="20"/>
      <c r="AF129" s="4"/>
      <c r="AG129" s="4"/>
    </row>
    <row r="130" spans="1:33" ht="18">
      <c r="A130" s="151"/>
      <c r="B130" s="152"/>
      <c r="C130" s="152"/>
      <c r="D130" s="153"/>
      <c r="E130" s="350">
        <f>IF(P2="","","Match for Non-Medical Transportation: ")</f>
      </c>
      <c r="F130" s="350"/>
      <c r="G130" s="350"/>
      <c r="H130" s="350"/>
      <c r="I130" s="350"/>
      <c r="J130" s="350"/>
      <c r="K130" s="350"/>
      <c r="L130" s="350"/>
      <c r="M130" s="350"/>
      <c r="N130" s="351">
        <f>IF(P2="","",N129*0.4017)</f>
      </c>
      <c r="O130" s="351"/>
      <c r="P130" s="351"/>
      <c r="Q130" s="351"/>
      <c r="R130" s="151"/>
      <c r="S130" s="152"/>
      <c r="T130" s="152"/>
      <c r="U130" s="153"/>
      <c r="W130" s="20"/>
      <c r="X130" s="20"/>
      <c r="AF130" s="4"/>
      <c r="AG130" s="4"/>
    </row>
    <row r="131" spans="1:31" s="2" customFormat="1" ht="24.75" customHeight="1">
      <c r="A131" s="316"/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317"/>
      <c r="M131" s="317"/>
      <c r="N131" s="317"/>
      <c r="O131" s="317"/>
      <c r="P131" s="317"/>
      <c r="Q131" s="317"/>
      <c r="R131" s="317"/>
      <c r="S131" s="317"/>
      <c r="T131" s="317"/>
      <c r="U131" s="319"/>
      <c r="V131" s="19"/>
      <c r="W131" s="19"/>
      <c r="X131" s="19"/>
      <c r="Y131" s="19"/>
      <c r="Z131" s="19"/>
      <c r="AA131" s="20"/>
      <c r="AB131" s="20"/>
      <c r="AC131" s="20"/>
      <c r="AD131" s="20"/>
      <c r="AE131" s="20"/>
    </row>
    <row r="132" spans="1:21" ht="20.25">
      <c r="A132" s="203" t="s">
        <v>6</v>
      </c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5"/>
    </row>
    <row r="133" spans="1:21" ht="15" customHeight="1">
      <c r="A133" s="168"/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70"/>
    </row>
    <row r="134" spans="1:34" ht="12.75">
      <c r="A134" s="172" t="s">
        <v>16</v>
      </c>
      <c r="B134" s="172"/>
      <c r="C134" s="172"/>
      <c r="D134" s="172"/>
      <c r="E134" s="172"/>
      <c r="F134" s="174"/>
      <c r="G134" s="174"/>
      <c r="H134" s="75">
        <f>IF(P2="",0,IF(E2="",IF(J2="",F134-M89-N129,F134-M90-N130),F134-M90-N130))</f>
        <v>0</v>
      </c>
      <c r="K134" s="76"/>
      <c r="L134" s="76"/>
      <c r="M134" s="76"/>
      <c r="N134" s="76"/>
      <c r="O134" s="172" t="s">
        <v>17</v>
      </c>
      <c r="P134" s="172"/>
      <c r="Q134" s="172"/>
      <c r="R134" s="172"/>
      <c r="S134" s="172"/>
      <c r="T134" s="173">
        <f>IF(H134&gt;5,H134,0)</f>
        <v>0</v>
      </c>
      <c r="U134" s="173"/>
      <c r="V134" s="161"/>
      <c r="W134" s="137"/>
      <c r="X134" s="138"/>
      <c r="Y134" s="20"/>
      <c r="AF134" s="4"/>
      <c r="AG134" s="4"/>
      <c r="AH134" s="4"/>
    </row>
    <row r="135" spans="1:21" ht="15" customHeight="1">
      <c r="A135" s="139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1"/>
    </row>
    <row r="136" spans="1:21" ht="24" customHeight="1" thickBot="1">
      <c r="A136" s="171" t="s">
        <v>83</v>
      </c>
      <c r="B136" s="171"/>
      <c r="C136" s="158"/>
      <c r="D136" s="159"/>
      <c r="E136" s="159"/>
      <c r="F136" s="159"/>
      <c r="G136" s="159"/>
      <c r="H136" s="160"/>
      <c r="I136" s="171" t="s">
        <v>84</v>
      </c>
      <c r="J136" s="171"/>
      <c r="K136" s="158"/>
      <c r="L136" s="159"/>
      <c r="M136" s="159"/>
      <c r="N136" s="159"/>
      <c r="O136" s="159"/>
      <c r="P136" s="159"/>
      <c r="Q136" s="159"/>
      <c r="R136" s="159"/>
      <c r="S136" s="159"/>
      <c r="T136" s="159"/>
      <c r="U136" s="160"/>
    </row>
    <row r="137" spans="1:34" ht="14.25" thickBot="1" thickTop="1">
      <c r="A137" s="162" t="s">
        <v>85</v>
      </c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4"/>
      <c r="N137" s="134" t="s">
        <v>86</v>
      </c>
      <c r="O137" s="134"/>
      <c r="P137" s="134" t="s">
        <v>11</v>
      </c>
      <c r="Q137" s="134"/>
      <c r="R137" s="134" t="s">
        <v>87</v>
      </c>
      <c r="S137" s="134"/>
      <c r="T137" s="134" t="s">
        <v>88</v>
      </c>
      <c r="U137" s="135"/>
      <c r="V137" s="11"/>
      <c r="W137" s="20"/>
      <c r="X137" s="20"/>
      <c r="Y137" s="20"/>
      <c r="AF137" s="4"/>
      <c r="AG137" s="4"/>
      <c r="AH137" s="4"/>
    </row>
    <row r="138" spans="1:34" ht="13.5" thickTop="1">
      <c r="A138" s="165"/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7"/>
      <c r="N138" s="241"/>
      <c r="O138" s="241"/>
      <c r="P138" s="241"/>
      <c r="Q138" s="241"/>
      <c r="R138" s="198"/>
      <c r="S138" s="198"/>
      <c r="T138" s="133">
        <f>IF(P138="W",(N138*($N$8/7)*R138),IF(P138="M",(N138*($N$8/30.4)*R138),IF(P138="S",(N138*R138),(N138*P138*R138))))</f>
        <v>0</v>
      </c>
      <c r="U138" s="133"/>
      <c r="V138" s="11"/>
      <c r="W138" s="20"/>
      <c r="X138" s="20"/>
      <c r="Y138" s="20"/>
      <c r="AF138" s="4"/>
      <c r="AG138" s="4"/>
      <c r="AH138" s="4"/>
    </row>
    <row r="139" spans="1:34" ht="12.75">
      <c r="A139" s="154"/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6"/>
      <c r="N139" s="132"/>
      <c r="O139" s="132"/>
      <c r="P139" s="132"/>
      <c r="Q139" s="132"/>
      <c r="R139" s="125"/>
      <c r="S139" s="125"/>
      <c r="T139" s="133">
        <f aca="true" t="shared" si="30" ref="T139:T147">IF(P139="W",(N139*($N$8/7)*R139),IF(P139="M",(N139*($N$8/30.4)*R139),IF(P139="S",(N139*R139),(N139*P139*R139))))</f>
        <v>0</v>
      </c>
      <c r="U139" s="133"/>
      <c r="V139" s="11"/>
      <c r="W139" s="20"/>
      <c r="X139" s="20"/>
      <c r="Y139" s="20"/>
      <c r="AF139" s="4"/>
      <c r="AG139" s="4"/>
      <c r="AH139" s="4"/>
    </row>
    <row r="140" spans="1:34" ht="12.75">
      <c r="A140" s="154"/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6"/>
      <c r="N140" s="132"/>
      <c r="O140" s="132"/>
      <c r="P140" s="132"/>
      <c r="Q140" s="132"/>
      <c r="R140" s="125"/>
      <c r="S140" s="125"/>
      <c r="T140" s="133">
        <f t="shared" si="30"/>
        <v>0</v>
      </c>
      <c r="U140" s="133"/>
      <c r="V140" s="11"/>
      <c r="W140" s="20"/>
      <c r="X140" s="20"/>
      <c r="Y140" s="20"/>
      <c r="AF140" s="4"/>
      <c r="AG140" s="4"/>
      <c r="AH140" s="4"/>
    </row>
    <row r="141" spans="1:34" ht="12.75">
      <c r="A141" s="154"/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6"/>
      <c r="N141" s="132"/>
      <c r="O141" s="132"/>
      <c r="P141" s="132"/>
      <c r="Q141" s="132"/>
      <c r="R141" s="125"/>
      <c r="S141" s="125"/>
      <c r="T141" s="133">
        <f t="shared" si="30"/>
        <v>0</v>
      </c>
      <c r="U141" s="133"/>
      <c r="V141" s="11"/>
      <c r="W141" s="20"/>
      <c r="X141" s="20"/>
      <c r="Y141" s="20"/>
      <c r="AF141" s="4"/>
      <c r="AG141" s="4"/>
      <c r="AH141" s="4"/>
    </row>
    <row r="142" spans="1:34" ht="12.75">
      <c r="A142" s="154"/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6"/>
      <c r="N142" s="132"/>
      <c r="O142" s="132"/>
      <c r="P142" s="132"/>
      <c r="Q142" s="132"/>
      <c r="R142" s="125"/>
      <c r="S142" s="125"/>
      <c r="T142" s="133">
        <f t="shared" si="30"/>
        <v>0</v>
      </c>
      <c r="U142" s="133"/>
      <c r="V142" s="11"/>
      <c r="W142" s="20"/>
      <c r="X142" s="20"/>
      <c r="Y142" s="20"/>
      <c r="AF142" s="4"/>
      <c r="AG142" s="4"/>
      <c r="AH142" s="4"/>
    </row>
    <row r="143" spans="1:34" ht="12.75">
      <c r="A143" s="154"/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6"/>
      <c r="N143" s="132"/>
      <c r="O143" s="132"/>
      <c r="P143" s="132"/>
      <c r="Q143" s="132"/>
      <c r="R143" s="125"/>
      <c r="S143" s="125"/>
      <c r="T143" s="133">
        <f t="shared" si="30"/>
        <v>0</v>
      </c>
      <c r="U143" s="133"/>
      <c r="V143" s="11"/>
      <c r="W143" s="20"/>
      <c r="X143" s="20"/>
      <c r="Y143" s="20"/>
      <c r="AF143" s="4"/>
      <c r="AG143" s="4"/>
      <c r="AH143" s="4"/>
    </row>
    <row r="144" spans="1:34" ht="12.75">
      <c r="A144" s="154"/>
      <c r="B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6"/>
      <c r="N144" s="132"/>
      <c r="O144" s="132"/>
      <c r="P144" s="132"/>
      <c r="Q144" s="132"/>
      <c r="R144" s="125"/>
      <c r="S144" s="125"/>
      <c r="T144" s="133">
        <f t="shared" si="30"/>
        <v>0</v>
      </c>
      <c r="U144" s="133"/>
      <c r="V144" s="11"/>
      <c r="W144" s="20"/>
      <c r="X144" s="20"/>
      <c r="Y144" s="20"/>
      <c r="AF144" s="4"/>
      <c r="AG144" s="4"/>
      <c r="AH144" s="4"/>
    </row>
    <row r="145" spans="1:34" ht="12.75">
      <c r="A145" s="154"/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6"/>
      <c r="N145" s="132"/>
      <c r="O145" s="132"/>
      <c r="P145" s="132"/>
      <c r="Q145" s="132"/>
      <c r="R145" s="125"/>
      <c r="S145" s="125"/>
      <c r="T145" s="133">
        <f t="shared" si="30"/>
        <v>0</v>
      </c>
      <c r="U145" s="133"/>
      <c r="V145" s="11"/>
      <c r="W145" s="20"/>
      <c r="X145" s="20"/>
      <c r="Y145" s="20"/>
      <c r="AF145" s="4"/>
      <c r="AG145" s="4"/>
      <c r="AH145" s="4"/>
    </row>
    <row r="146" spans="1:34" ht="12.75">
      <c r="A146" s="154"/>
      <c r="B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6"/>
      <c r="N146" s="132"/>
      <c r="O146" s="132"/>
      <c r="P146" s="132"/>
      <c r="Q146" s="132"/>
      <c r="R146" s="125"/>
      <c r="S146" s="125"/>
      <c r="T146" s="133">
        <f t="shared" si="30"/>
        <v>0</v>
      </c>
      <c r="U146" s="133"/>
      <c r="V146" s="11"/>
      <c r="W146" s="20"/>
      <c r="X146" s="20"/>
      <c r="Y146" s="20"/>
      <c r="AF146" s="4"/>
      <c r="AG146" s="4"/>
      <c r="AH146" s="4"/>
    </row>
    <row r="147" spans="1:34" ht="12.75">
      <c r="A147" s="154"/>
      <c r="B147" s="155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6"/>
      <c r="N147" s="132"/>
      <c r="O147" s="132"/>
      <c r="P147" s="132"/>
      <c r="Q147" s="132"/>
      <c r="R147" s="125"/>
      <c r="S147" s="125"/>
      <c r="T147" s="133">
        <f t="shared" si="30"/>
        <v>0</v>
      </c>
      <c r="U147" s="133"/>
      <c r="V147" s="11"/>
      <c r="W147" s="20"/>
      <c r="X147" s="20"/>
      <c r="Y147" s="20"/>
      <c r="AF147" s="4"/>
      <c r="AG147" s="4"/>
      <c r="AH147" s="4"/>
    </row>
    <row r="148" spans="1:21" ht="15" customHeight="1">
      <c r="A148" s="192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4"/>
    </row>
    <row r="149" spans="1:21" ht="24" customHeight="1" thickBot="1">
      <c r="A149" s="157" t="s">
        <v>89</v>
      </c>
      <c r="B149" s="157"/>
      <c r="C149" s="337"/>
      <c r="D149" s="337"/>
      <c r="E149" s="337"/>
      <c r="F149" s="337"/>
      <c r="G149" s="337"/>
      <c r="H149" s="337"/>
      <c r="I149" s="157" t="s">
        <v>84</v>
      </c>
      <c r="J149" s="157"/>
      <c r="K149" s="158"/>
      <c r="L149" s="159"/>
      <c r="M149" s="159"/>
      <c r="N149" s="159"/>
      <c r="O149" s="159"/>
      <c r="P149" s="159"/>
      <c r="Q149" s="159"/>
      <c r="R149" s="159"/>
      <c r="S149" s="159"/>
      <c r="T149" s="159"/>
      <c r="U149" s="160"/>
    </row>
    <row r="150" spans="1:34" ht="14.25" thickBot="1" thickTop="1">
      <c r="A150" s="162" t="s">
        <v>85</v>
      </c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4"/>
      <c r="N150" s="134" t="s">
        <v>86</v>
      </c>
      <c r="O150" s="134"/>
      <c r="P150" s="134" t="s">
        <v>11</v>
      </c>
      <c r="Q150" s="134"/>
      <c r="R150" s="134" t="s">
        <v>87</v>
      </c>
      <c r="S150" s="134"/>
      <c r="T150" s="134" t="s">
        <v>88</v>
      </c>
      <c r="U150" s="135"/>
      <c r="V150" s="1"/>
      <c r="W150" s="20"/>
      <c r="X150" s="20"/>
      <c r="Y150" s="20"/>
      <c r="AF150" s="4"/>
      <c r="AG150" s="4"/>
      <c r="AH150" s="4"/>
    </row>
    <row r="151" spans="1:34" ht="13.5" thickTop="1">
      <c r="A151" s="165"/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7"/>
      <c r="N151" s="132"/>
      <c r="O151" s="132"/>
      <c r="P151" s="132"/>
      <c r="Q151" s="132"/>
      <c r="R151" s="125"/>
      <c r="S151" s="125"/>
      <c r="T151" s="133">
        <f>IF(P151="W",(N151*($N$8/7)*R151),IF(P151="M",(N151*($N$8/30.4)*R151),IF(P151="S",(N151*R151),(N151*P151*R151))))</f>
        <v>0</v>
      </c>
      <c r="U151" s="133"/>
      <c r="V151" s="11"/>
      <c r="W151" s="20"/>
      <c r="X151" s="20"/>
      <c r="Y151" s="20"/>
      <c r="AF151" s="4"/>
      <c r="AG151" s="4"/>
      <c r="AH151" s="4"/>
    </row>
    <row r="152" spans="1:34" ht="12.75">
      <c r="A152" s="154"/>
      <c r="B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6"/>
      <c r="N152" s="132"/>
      <c r="O152" s="132"/>
      <c r="P152" s="132"/>
      <c r="Q152" s="132"/>
      <c r="R152" s="125"/>
      <c r="S152" s="125"/>
      <c r="T152" s="133">
        <f aca="true" t="shared" si="31" ref="T152:T160">IF(P152="W",(N152*($N$8/7)*R152),IF(P152="M",(N152*($N$8/30.4)*R152),IF(P152="S",(N152*R152),(N152*P152*R152))))</f>
        <v>0</v>
      </c>
      <c r="U152" s="133"/>
      <c r="V152" s="11"/>
      <c r="W152" s="20"/>
      <c r="X152" s="20"/>
      <c r="Y152" s="20"/>
      <c r="AF152" s="4"/>
      <c r="AG152" s="4"/>
      <c r="AH152" s="4"/>
    </row>
    <row r="153" spans="1:34" ht="12.75">
      <c r="A153" s="154"/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6"/>
      <c r="N153" s="132"/>
      <c r="O153" s="132"/>
      <c r="P153" s="132"/>
      <c r="Q153" s="132"/>
      <c r="R153" s="125"/>
      <c r="S153" s="125"/>
      <c r="T153" s="133">
        <f t="shared" si="31"/>
        <v>0</v>
      </c>
      <c r="U153" s="133"/>
      <c r="V153" s="11"/>
      <c r="W153" s="20"/>
      <c r="X153" s="20"/>
      <c r="Y153" s="20"/>
      <c r="AF153" s="4"/>
      <c r="AG153" s="4"/>
      <c r="AH153" s="4"/>
    </row>
    <row r="154" spans="1:34" ht="12.75">
      <c r="A154" s="154"/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6"/>
      <c r="N154" s="132"/>
      <c r="O154" s="132"/>
      <c r="P154" s="132"/>
      <c r="Q154" s="132"/>
      <c r="R154" s="125"/>
      <c r="S154" s="125"/>
      <c r="T154" s="133">
        <f t="shared" si="31"/>
        <v>0</v>
      </c>
      <c r="U154" s="133"/>
      <c r="V154" s="11"/>
      <c r="W154" s="20"/>
      <c r="X154" s="20"/>
      <c r="Y154" s="20"/>
      <c r="AF154" s="4"/>
      <c r="AG154" s="4"/>
      <c r="AH154" s="4"/>
    </row>
    <row r="155" spans="1:34" ht="12.75">
      <c r="A155" s="154"/>
      <c r="B155" s="155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6"/>
      <c r="N155" s="132"/>
      <c r="O155" s="132"/>
      <c r="P155" s="132"/>
      <c r="Q155" s="132"/>
      <c r="R155" s="125"/>
      <c r="S155" s="125"/>
      <c r="T155" s="133">
        <f t="shared" si="31"/>
        <v>0</v>
      </c>
      <c r="U155" s="133"/>
      <c r="V155" s="11"/>
      <c r="W155" s="20"/>
      <c r="X155" s="20"/>
      <c r="Y155" s="20"/>
      <c r="AF155" s="4"/>
      <c r="AG155" s="4"/>
      <c r="AH155" s="4"/>
    </row>
    <row r="156" spans="1:34" ht="12.7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6"/>
      <c r="N156" s="132"/>
      <c r="O156" s="132"/>
      <c r="P156" s="132"/>
      <c r="Q156" s="132"/>
      <c r="R156" s="125"/>
      <c r="S156" s="125"/>
      <c r="T156" s="133">
        <f t="shared" si="31"/>
        <v>0</v>
      </c>
      <c r="U156" s="133"/>
      <c r="V156" s="11"/>
      <c r="W156" s="20"/>
      <c r="X156" s="20"/>
      <c r="Y156" s="20"/>
      <c r="AF156" s="4"/>
      <c r="AG156" s="4"/>
      <c r="AH156" s="4"/>
    </row>
    <row r="157" spans="1:34" ht="12.75">
      <c r="A157" s="154"/>
      <c r="B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6"/>
      <c r="N157" s="132"/>
      <c r="O157" s="132"/>
      <c r="P157" s="132"/>
      <c r="Q157" s="132"/>
      <c r="R157" s="125"/>
      <c r="S157" s="125"/>
      <c r="T157" s="133">
        <f t="shared" si="31"/>
        <v>0</v>
      </c>
      <c r="U157" s="133"/>
      <c r="V157" s="11"/>
      <c r="W157" s="20"/>
      <c r="X157" s="20"/>
      <c r="Y157" s="20"/>
      <c r="AF157" s="4"/>
      <c r="AG157" s="4"/>
      <c r="AH157" s="4"/>
    </row>
    <row r="158" spans="1:34" ht="12.75">
      <c r="A158" s="154"/>
      <c r="B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6"/>
      <c r="N158" s="132"/>
      <c r="O158" s="132"/>
      <c r="P158" s="132"/>
      <c r="Q158" s="132"/>
      <c r="R158" s="125"/>
      <c r="S158" s="125"/>
      <c r="T158" s="133">
        <f t="shared" si="31"/>
        <v>0</v>
      </c>
      <c r="U158" s="133"/>
      <c r="V158" s="11"/>
      <c r="W158" s="20"/>
      <c r="X158" s="20"/>
      <c r="Y158" s="20"/>
      <c r="AF158" s="4"/>
      <c r="AG158" s="4"/>
      <c r="AH158" s="4"/>
    </row>
    <row r="159" spans="1:34" ht="12.75">
      <c r="A159" s="154"/>
      <c r="B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6"/>
      <c r="N159" s="132"/>
      <c r="O159" s="132"/>
      <c r="P159" s="132"/>
      <c r="Q159" s="132"/>
      <c r="R159" s="125"/>
      <c r="S159" s="125"/>
      <c r="T159" s="133">
        <f t="shared" si="31"/>
        <v>0</v>
      </c>
      <c r="U159" s="133"/>
      <c r="V159" s="11"/>
      <c r="W159" s="20"/>
      <c r="X159" s="20"/>
      <c r="Y159" s="20"/>
      <c r="AF159" s="4"/>
      <c r="AG159" s="4"/>
      <c r="AH159" s="4"/>
    </row>
    <row r="160" spans="1:34" ht="12.75">
      <c r="A160" s="154"/>
      <c r="B160" s="155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6"/>
      <c r="N160" s="132"/>
      <c r="O160" s="132"/>
      <c r="P160" s="132"/>
      <c r="Q160" s="132"/>
      <c r="R160" s="125"/>
      <c r="S160" s="125"/>
      <c r="T160" s="133">
        <f t="shared" si="31"/>
        <v>0</v>
      </c>
      <c r="U160" s="133"/>
      <c r="V160" s="11"/>
      <c r="W160" s="20"/>
      <c r="X160" s="20"/>
      <c r="Y160" s="20"/>
      <c r="AF160" s="4"/>
      <c r="AG160" s="4"/>
      <c r="AH160" s="4"/>
    </row>
    <row r="161" spans="1:21" ht="15" customHeight="1">
      <c r="A161" s="192"/>
      <c r="B161" s="193"/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4"/>
    </row>
    <row r="162" spans="1:21" ht="24" customHeight="1" thickBot="1">
      <c r="A162" s="195" t="s">
        <v>90</v>
      </c>
      <c r="B162" s="196"/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7"/>
    </row>
    <row r="163" spans="1:34" ht="14.25" thickBot="1" thickTop="1">
      <c r="A163" s="162" t="s">
        <v>91</v>
      </c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4"/>
      <c r="N163" s="134" t="s">
        <v>92</v>
      </c>
      <c r="O163" s="134"/>
      <c r="P163" s="134"/>
      <c r="Q163" s="134"/>
      <c r="R163" s="134"/>
      <c r="S163" s="134"/>
      <c r="T163" s="134" t="s">
        <v>88</v>
      </c>
      <c r="U163" s="135"/>
      <c r="V163" s="11"/>
      <c r="W163" s="20"/>
      <c r="X163" s="20"/>
      <c r="Y163" s="20"/>
      <c r="AF163" s="4"/>
      <c r="AG163" s="4"/>
      <c r="AH163" s="4"/>
    </row>
    <row r="164" spans="1:34" ht="13.5" thickTop="1">
      <c r="A164" s="165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7"/>
      <c r="N164" s="126"/>
      <c r="O164" s="126"/>
      <c r="P164" s="126"/>
      <c r="Q164" s="126"/>
      <c r="R164" s="126"/>
      <c r="S164" s="126"/>
      <c r="T164" s="198"/>
      <c r="U164" s="198"/>
      <c r="V164" s="11"/>
      <c r="W164" s="20"/>
      <c r="X164" s="20"/>
      <c r="Y164" s="20"/>
      <c r="AF164" s="4"/>
      <c r="AG164" s="4"/>
      <c r="AH164" s="4"/>
    </row>
    <row r="165" spans="1:34" ht="12.75">
      <c r="A165" s="154"/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6"/>
      <c r="N165" s="131"/>
      <c r="O165" s="131"/>
      <c r="P165" s="131"/>
      <c r="Q165" s="131"/>
      <c r="R165" s="131"/>
      <c r="S165" s="131"/>
      <c r="T165" s="125"/>
      <c r="U165" s="125"/>
      <c r="V165" s="11"/>
      <c r="W165" s="20"/>
      <c r="X165" s="20"/>
      <c r="Y165" s="20"/>
      <c r="AF165" s="4"/>
      <c r="AG165" s="4"/>
      <c r="AH165" s="4"/>
    </row>
    <row r="166" spans="1:34" ht="12.75">
      <c r="A166" s="154"/>
      <c r="B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6"/>
      <c r="N166" s="131"/>
      <c r="O166" s="131"/>
      <c r="P166" s="131"/>
      <c r="Q166" s="131"/>
      <c r="R166" s="131"/>
      <c r="S166" s="131"/>
      <c r="T166" s="125"/>
      <c r="U166" s="125"/>
      <c r="V166" s="11"/>
      <c r="W166" s="20"/>
      <c r="X166" s="20"/>
      <c r="Y166" s="20"/>
      <c r="AF166" s="4"/>
      <c r="AG166" s="4"/>
      <c r="AH166" s="4"/>
    </row>
    <row r="167" spans="1:34" ht="12.75">
      <c r="A167" s="154"/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6"/>
      <c r="N167" s="131"/>
      <c r="O167" s="131"/>
      <c r="P167" s="131"/>
      <c r="Q167" s="131"/>
      <c r="R167" s="131"/>
      <c r="S167" s="131"/>
      <c r="T167" s="125"/>
      <c r="U167" s="125"/>
      <c r="V167" s="11"/>
      <c r="W167" s="20"/>
      <c r="X167" s="20"/>
      <c r="Y167" s="20"/>
      <c r="AF167" s="4"/>
      <c r="AG167" s="4"/>
      <c r="AH167" s="4"/>
    </row>
    <row r="168" spans="1:34" ht="12.75">
      <c r="A168" s="154"/>
      <c r="B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6"/>
      <c r="N168" s="131"/>
      <c r="O168" s="131"/>
      <c r="P168" s="131"/>
      <c r="Q168" s="131"/>
      <c r="R168" s="131"/>
      <c r="S168" s="131"/>
      <c r="T168" s="125"/>
      <c r="U168" s="125"/>
      <c r="V168" s="11"/>
      <c r="W168" s="20"/>
      <c r="X168" s="20"/>
      <c r="Y168" s="20"/>
      <c r="AF168" s="4"/>
      <c r="AG168" s="4"/>
      <c r="AH168" s="4"/>
    </row>
    <row r="169" spans="1:34" ht="12.75">
      <c r="A169" s="154"/>
      <c r="B169" s="155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6"/>
      <c r="N169" s="131"/>
      <c r="O169" s="131"/>
      <c r="P169" s="131"/>
      <c r="Q169" s="131"/>
      <c r="R169" s="131"/>
      <c r="S169" s="131"/>
      <c r="T169" s="125"/>
      <c r="U169" s="125"/>
      <c r="V169" s="11"/>
      <c r="W169" s="20"/>
      <c r="X169" s="20"/>
      <c r="Y169" s="20"/>
      <c r="AF169" s="4"/>
      <c r="AG169" s="4"/>
      <c r="AH169" s="4"/>
    </row>
    <row r="170" spans="1:34" ht="12.75">
      <c r="A170" s="154"/>
      <c r="B170" s="155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6"/>
      <c r="N170" s="131"/>
      <c r="O170" s="131"/>
      <c r="P170" s="131"/>
      <c r="Q170" s="131"/>
      <c r="R170" s="131"/>
      <c r="S170" s="131"/>
      <c r="T170" s="125"/>
      <c r="U170" s="125"/>
      <c r="V170" s="11"/>
      <c r="W170" s="20"/>
      <c r="X170" s="20"/>
      <c r="Y170" s="20"/>
      <c r="AF170" s="4"/>
      <c r="AG170" s="4"/>
      <c r="AH170" s="4"/>
    </row>
    <row r="171" spans="1:34" ht="12.75">
      <c r="A171" s="154"/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6"/>
      <c r="N171" s="131"/>
      <c r="O171" s="131"/>
      <c r="P171" s="131"/>
      <c r="Q171" s="131"/>
      <c r="R171" s="131"/>
      <c r="S171" s="131"/>
      <c r="T171" s="125"/>
      <c r="U171" s="125"/>
      <c r="V171" s="11"/>
      <c r="W171" s="20"/>
      <c r="X171" s="20"/>
      <c r="Y171" s="20"/>
      <c r="AF171" s="4"/>
      <c r="AG171" s="4"/>
      <c r="AH171" s="4"/>
    </row>
    <row r="172" spans="1:34" ht="12.75">
      <c r="A172" s="154"/>
      <c r="B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6"/>
      <c r="N172" s="131"/>
      <c r="O172" s="131"/>
      <c r="P172" s="131"/>
      <c r="Q172" s="131"/>
      <c r="R172" s="131"/>
      <c r="S172" s="131"/>
      <c r="T172" s="125"/>
      <c r="U172" s="125"/>
      <c r="V172" s="11"/>
      <c r="W172" s="20"/>
      <c r="X172" s="20"/>
      <c r="Y172" s="20"/>
      <c r="AF172" s="4"/>
      <c r="AG172" s="4"/>
      <c r="AH172" s="4"/>
    </row>
    <row r="173" spans="1:34" ht="12.75">
      <c r="A173" s="154"/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6"/>
      <c r="N173" s="131"/>
      <c r="O173" s="131"/>
      <c r="P173" s="131"/>
      <c r="Q173" s="131"/>
      <c r="R173" s="131"/>
      <c r="S173" s="131"/>
      <c r="T173" s="125"/>
      <c r="U173" s="125"/>
      <c r="V173" s="11"/>
      <c r="W173" s="20"/>
      <c r="X173" s="20"/>
      <c r="Y173" s="20"/>
      <c r="AF173" s="4"/>
      <c r="AG173" s="4"/>
      <c r="AH173" s="4"/>
    </row>
    <row r="174" spans="1:21" ht="15" customHeight="1" thickBot="1">
      <c r="A174" s="189"/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1"/>
    </row>
    <row r="175" spans="1:34" ht="13.5" thickBot="1">
      <c r="A175" s="151"/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79"/>
      <c r="N175" s="127" t="s">
        <v>93</v>
      </c>
      <c r="O175" s="128"/>
      <c r="P175" s="128"/>
      <c r="Q175" s="128"/>
      <c r="R175" s="128"/>
      <c r="S175" s="128"/>
      <c r="T175" s="129">
        <f>SUM(T138:U147,T151:U160,T164:U173)</f>
        <v>0</v>
      </c>
      <c r="U175" s="130"/>
      <c r="V175" s="64">
        <f>IF(E2="",IF(J2="",IF(H134&lt;=0,M89+N129,0),0),0)</f>
        <v>0</v>
      </c>
      <c r="W175" s="20"/>
      <c r="X175" s="20"/>
      <c r="Y175" s="20"/>
      <c r="AF175" s="4"/>
      <c r="AG175" s="4"/>
      <c r="AH175" s="4"/>
    </row>
    <row r="176" spans="1:34" ht="13.5" thickBot="1">
      <c r="A176" s="151"/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79"/>
      <c r="N176" s="176" t="s">
        <v>135</v>
      </c>
      <c r="O176" s="177"/>
      <c r="P176" s="177"/>
      <c r="Q176" s="177"/>
      <c r="R176" s="177"/>
      <c r="S176" s="178"/>
      <c r="T176" s="129">
        <f>T134-T175</f>
        <v>0</v>
      </c>
      <c r="U176" s="130"/>
      <c r="V176" s="64"/>
      <c r="W176" s="20"/>
      <c r="X176" s="20"/>
      <c r="Y176" s="20"/>
      <c r="AF176" s="4"/>
      <c r="AG176" s="4"/>
      <c r="AH176" s="4"/>
    </row>
    <row r="177" spans="1:21" ht="15" customHeight="1">
      <c r="A177" s="185"/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7"/>
    </row>
    <row r="178" spans="1:21" ht="15" customHeight="1">
      <c r="A178" s="175" t="s">
        <v>149</v>
      </c>
      <c r="B178" s="175"/>
      <c r="C178" s="175"/>
      <c r="D178" s="175"/>
      <c r="E178" s="175"/>
      <c r="F178" s="175"/>
      <c r="G178" s="175"/>
      <c r="H178" s="175"/>
      <c r="I178" s="175"/>
      <c r="J178" s="175"/>
      <c r="K178" s="151"/>
      <c r="L178" s="153"/>
      <c r="M178" s="1" t="s">
        <v>94</v>
      </c>
      <c r="N178" s="84"/>
      <c r="O178" s="18"/>
      <c r="P178" s="1" t="s">
        <v>95</v>
      </c>
      <c r="Q178" s="84"/>
      <c r="R178" s="188"/>
      <c r="S178" s="152"/>
      <c r="T178" s="152"/>
      <c r="U178" s="153"/>
    </row>
    <row r="179" spans="1:21" ht="15" customHeight="1">
      <c r="A179" s="139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1"/>
    </row>
    <row r="180" spans="1:21" ht="24" customHeight="1">
      <c r="A180" s="175" t="s">
        <v>96</v>
      </c>
      <c r="B180" s="175"/>
      <c r="C180" s="175"/>
      <c r="D180" s="175"/>
      <c r="E180" s="175"/>
      <c r="F180" s="182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4"/>
      <c r="S180" s="1" t="s">
        <v>97</v>
      </c>
      <c r="T180" s="180"/>
      <c r="U180" s="181"/>
    </row>
    <row r="181" spans="1:24" ht="12.75">
      <c r="A181" s="151"/>
      <c r="B181" s="152"/>
      <c r="C181" s="153"/>
      <c r="D181" s="142" t="b">
        <f>OR(M89&gt;H10,N129&gt;H11,T175&gt;T134)</f>
        <v>0</v>
      </c>
      <c r="E181" s="143"/>
      <c r="F181" s="144">
        <f>IF(D181=TRUE,"At least one section of this cost worksheet is OVER BUDGET.  Please revise.","")</f>
      </c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6"/>
      <c r="S181" s="139"/>
      <c r="T181" s="140"/>
      <c r="U181" s="141"/>
      <c r="V181" s="68"/>
      <c r="W181" s="66" t="e">
        <f>OR(AF89&gt;AA10,#REF!&gt;AA11,#REF!&gt;#REF!)</f>
        <v>#REF!</v>
      </c>
      <c r="X181" s="78"/>
    </row>
    <row r="182" spans="1:23" ht="12.75" customHeight="1">
      <c r="A182" s="151"/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3"/>
      <c r="W182" s="77"/>
    </row>
    <row r="183" spans="1:24" ht="12.75">
      <c r="A183" s="151"/>
      <c r="B183" s="152"/>
      <c r="C183" s="153"/>
      <c r="D183" s="142" t="b">
        <f>OR(E4="x",J4="x",P4&gt;"")</f>
        <v>0</v>
      </c>
      <c r="E183" s="143"/>
      <c r="F183" s="147" t="str">
        <f>IF(D183=FALSE,"Please mark initial, redet or revision at the top of this cost worksheet.","")</f>
        <v>Please mark initial, redet or revision at the top of this cost worksheet.</v>
      </c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9"/>
      <c r="S183" s="136"/>
      <c r="T183" s="137"/>
      <c r="U183" s="138"/>
      <c r="V183" s="68"/>
      <c r="W183" s="66" t="e">
        <f>OR(X4="x",AC4="x",#REF!="x")</f>
        <v>#REF!</v>
      </c>
      <c r="X183" s="78"/>
    </row>
    <row r="184" spans="1:31" s="27" customFormat="1" ht="12.75" customHeight="1">
      <c r="A184" s="339"/>
      <c r="B184" s="340"/>
      <c r="C184" s="340"/>
      <c r="D184" s="340"/>
      <c r="E184" s="340"/>
      <c r="F184" s="340"/>
      <c r="G184" s="340"/>
      <c r="H184" s="340"/>
      <c r="I184" s="340"/>
      <c r="J184" s="340"/>
      <c r="K184" s="340"/>
      <c r="L184" s="340"/>
      <c r="M184" s="340"/>
      <c r="N184" s="340"/>
      <c r="O184" s="340"/>
      <c r="P184" s="340"/>
      <c r="Q184" s="340"/>
      <c r="R184" s="340"/>
      <c r="S184" s="340"/>
      <c r="T184" s="340"/>
      <c r="U184" s="341"/>
      <c r="V184" s="69"/>
      <c r="W184" s="70"/>
      <c r="X184" s="70"/>
      <c r="Y184" s="70"/>
      <c r="Z184" s="70"/>
      <c r="AA184" s="70"/>
      <c r="AB184" s="70"/>
      <c r="AC184" s="70"/>
      <c r="AD184" s="70"/>
      <c r="AE184" s="70"/>
    </row>
    <row r="185" spans="1:31" s="27" customFormat="1" ht="12.75" customHeight="1">
      <c r="A185" s="150"/>
      <c r="B185" s="150"/>
      <c r="C185" s="150"/>
      <c r="D185" s="150"/>
      <c r="E185" s="150"/>
      <c r="F185" s="338">
        <f>IF(N8&lt;365,"NOTE: This Cost Worksheet is calculated for only a portion of the span","")</f>
      </c>
      <c r="G185" s="338"/>
      <c r="H185" s="338"/>
      <c r="I185" s="338"/>
      <c r="J185" s="338"/>
      <c r="K185" s="338"/>
      <c r="L185" s="338"/>
      <c r="M185" s="338"/>
      <c r="N185" s="338"/>
      <c r="O185" s="338"/>
      <c r="P185" s="338"/>
      <c r="Q185" s="338"/>
      <c r="R185" s="338"/>
      <c r="S185" s="347"/>
      <c r="T185" s="348"/>
      <c r="U185" s="349"/>
      <c r="V185" s="69"/>
      <c r="W185" s="70"/>
      <c r="X185" s="70"/>
      <c r="Y185" s="70"/>
      <c r="Z185" s="70"/>
      <c r="AA185" s="70"/>
      <c r="AB185" s="70"/>
      <c r="AC185" s="70"/>
      <c r="AD185" s="70"/>
      <c r="AE185" s="70"/>
    </row>
    <row r="186" spans="1:21" ht="12.75" customHeight="1">
      <c r="A186" s="151"/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3"/>
    </row>
    <row r="187" spans="1:21" ht="12.75" customHeight="1">
      <c r="A187" s="342"/>
      <c r="B187" s="343"/>
      <c r="C187" s="343"/>
      <c r="D187" s="343"/>
      <c r="E187" s="343"/>
      <c r="F187" s="343"/>
      <c r="G187" s="343"/>
      <c r="H187" s="343"/>
      <c r="I187" s="343"/>
      <c r="J187" s="343"/>
      <c r="K187" s="343"/>
      <c r="L187" s="343"/>
      <c r="M187" s="343"/>
      <c r="N187" s="343"/>
      <c r="O187" s="343"/>
      <c r="P187" s="343"/>
      <c r="Q187" s="343"/>
      <c r="R187" s="343"/>
      <c r="S187" s="343"/>
      <c r="T187" s="343"/>
      <c r="U187" s="344"/>
    </row>
    <row r="188" spans="1:22" ht="12.75">
      <c r="A188" s="109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32"/>
    </row>
    <row r="189" spans="1:22" ht="12.75" customHeight="1">
      <c r="A189" s="108" t="s">
        <v>118</v>
      </c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85"/>
    </row>
    <row r="190" spans="1:13" ht="12.75" customHeight="1">
      <c r="A190" s="120" t="s">
        <v>119</v>
      </c>
      <c r="B190" s="121"/>
      <c r="C190" s="121"/>
      <c r="D190" s="121"/>
      <c r="E190" s="121"/>
      <c r="F190" s="121"/>
      <c r="G190" s="121"/>
      <c r="H190" s="121"/>
      <c r="I190" s="33"/>
      <c r="J190" s="30">
        <f>I190*4</f>
        <v>0</v>
      </c>
      <c r="K190" s="29"/>
      <c r="L190" s="29"/>
      <c r="M190" s="29" t="s">
        <v>114</v>
      </c>
    </row>
    <row r="191" spans="1:13" ht="13.5" thickBot="1">
      <c r="A191" s="120" t="s">
        <v>120</v>
      </c>
      <c r="B191" s="121"/>
      <c r="C191" s="110"/>
      <c r="D191" s="35"/>
      <c r="E191" s="120" t="s">
        <v>113</v>
      </c>
      <c r="F191" s="121"/>
      <c r="G191" s="121"/>
      <c r="H191" s="121"/>
      <c r="I191" s="34"/>
      <c r="J191" s="30"/>
      <c r="K191" s="29"/>
      <c r="L191" s="29"/>
      <c r="M191" s="29" t="s">
        <v>115</v>
      </c>
    </row>
    <row r="192" spans="1:13" ht="13.5" thickBot="1">
      <c r="A192" s="101" t="s">
        <v>117</v>
      </c>
      <c r="B192" s="102"/>
      <c r="C192" s="102"/>
      <c r="D192" s="105">
        <f>IF(D191="","",D191)</f>
      </c>
      <c r="E192" s="105"/>
      <c r="F192" s="106"/>
      <c r="G192" s="106"/>
      <c r="H192" s="103"/>
      <c r="I192" s="31">
        <f>I191*J190</f>
        <v>0</v>
      </c>
      <c r="J192" s="30"/>
      <c r="K192" s="29"/>
      <c r="L192" s="29"/>
      <c r="M192" s="29" t="s">
        <v>116</v>
      </c>
    </row>
    <row r="193" spans="1:22" ht="12.75">
      <c r="A193" s="115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32"/>
    </row>
    <row r="194" spans="1:22" ht="12.75">
      <c r="A194" s="109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32"/>
    </row>
    <row r="195" spans="1:22" ht="15.75">
      <c r="A195" s="108" t="s">
        <v>136</v>
      </c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85"/>
    </row>
    <row r="196" spans="1:9" ht="12.75">
      <c r="A196" s="120" t="s">
        <v>122</v>
      </c>
      <c r="B196" s="121"/>
      <c r="C196" s="121"/>
      <c r="D196" s="121"/>
      <c r="E196" s="121"/>
      <c r="F196" s="121"/>
      <c r="G196" s="121"/>
      <c r="H196" s="33"/>
      <c r="I196" s="18"/>
    </row>
    <row r="197" spans="1:9" ht="13.5" thickBot="1">
      <c r="A197" s="345" t="s">
        <v>123</v>
      </c>
      <c r="B197" s="346"/>
      <c r="C197" s="346"/>
      <c r="D197" s="346"/>
      <c r="E197" s="346"/>
      <c r="F197" s="346"/>
      <c r="G197" s="346"/>
      <c r="H197" s="34"/>
      <c r="I197" s="18"/>
    </row>
    <row r="198" spans="1:9" ht="13.5" thickBot="1">
      <c r="A198" s="118" t="s">
        <v>124</v>
      </c>
      <c r="B198" s="118"/>
      <c r="C198" s="118"/>
      <c r="D198" s="118"/>
      <c r="E198" s="118"/>
      <c r="F198" s="118"/>
      <c r="G198" s="119"/>
      <c r="H198" s="38">
        <f>IF(N8="","",(H196*(N8/7))-H197)</f>
      </c>
      <c r="I198" s="18"/>
    </row>
    <row r="199" spans="1:21" ht="12.75">
      <c r="A199" s="115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7"/>
    </row>
    <row r="200" spans="1:22" ht="12.75">
      <c r="A200" s="115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7"/>
      <c r="V200" s="86"/>
    </row>
    <row r="201" spans="1:21" ht="15.75">
      <c r="A201" s="108" t="s">
        <v>53</v>
      </c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</row>
    <row r="202" spans="1:13" ht="12.75">
      <c r="A202" s="120" t="s">
        <v>54</v>
      </c>
      <c r="B202" s="121"/>
      <c r="C202" s="121"/>
      <c r="D202" s="121"/>
      <c r="E202" s="121"/>
      <c r="F202" s="121"/>
      <c r="G202" s="121"/>
      <c r="H202" s="121"/>
      <c r="I202" s="33"/>
      <c r="J202" s="30"/>
      <c r="K202" s="29"/>
      <c r="L202" s="29"/>
      <c r="M202" s="29" t="s">
        <v>114</v>
      </c>
    </row>
    <row r="203" spans="1:13" ht="13.5" thickBot="1">
      <c r="A203" s="120" t="s">
        <v>120</v>
      </c>
      <c r="B203" s="121"/>
      <c r="C203" s="110"/>
      <c r="D203" s="35"/>
      <c r="E203" s="120" t="s">
        <v>113</v>
      </c>
      <c r="F203" s="121"/>
      <c r="G203" s="121"/>
      <c r="H203" s="121"/>
      <c r="I203" s="34"/>
      <c r="J203" s="30"/>
      <c r="K203" s="29"/>
      <c r="L203" s="29"/>
      <c r="M203" s="29" t="s">
        <v>115</v>
      </c>
    </row>
    <row r="204" spans="1:13" ht="13.5" thickBot="1">
      <c r="A204" s="101" t="s">
        <v>108</v>
      </c>
      <c r="B204" s="102"/>
      <c r="C204" s="102"/>
      <c r="D204" s="105">
        <f>IF(D203="","",D203)</f>
      </c>
      <c r="E204" s="105"/>
      <c r="F204" s="106"/>
      <c r="G204" s="106"/>
      <c r="H204" s="103"/>
      <c r="I204" s="31">
        <f>I202*I203</f>
        <v>0</v>
      </c>
      <c r="J204" s="30"/>
      <c r="K204" s="29"/>
      <c r="L204" s="29"/>
      <c r="M204" s="29" t="s">
        <v>116</v>
      </c>
    </row>
    <row r="205" spans="1:21" ht="12.75">
      <c r="A205" s="115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7"/>
    </row>
    <row r="206" spans="1:21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71"/>
      <c r="T206" s="100"/>
      <c r="U206" s="100"/>
    </row>
  </sheetData>
  <mergeCells count="601">
    <mergeCell ref="T137:U137"/>
    <mergeCell ref="T138:U138"/>
    <mergeCell ref="A130:D130"/>
    <mergeCell ref="E130:M130"/>
    <mergeCell ref="N130:Q130"/>
    <mergeCell ref="A131:U131"/>
    <mergeCell ref="R130:U130"/>
    <mergeCell ref="R138:S138"/>
    <mergeCell ref="P138:Q138"/>
    <mergeCell ref="S185:U185"/>
    <mergeCell ref="T141:U141"/>
    <mergeCell ref="R146:S146"/>
    <mergeCell ref="R141:S141"/>
    <mergeCell ref="A148:U148"/>
    <mergeCell ref="A145:M145"/>
    <mergeCell ref="T147:U147"/>
    <mergeCell ref="A146:M146"/>
    <mergeCell ref="T145:U145"/>
    <mergeCell ref="T146:U146"/>
    <mergeCell ref="N159:O159"/>
    <mergeCell ref="A199:U199"/>
    <mergeCell ref="A182:U182"/>
    <mergeCell ref="A184:U184"/>
    <mergeCell ref="A187:U187"/>
    <mergeCell ref="A186:U186"/>
    <mergeCell ref="A188:U188"/>
    <mergeCell ref="A189:U189"/>
    <mergeCell ref="A197:G197"/>
    <mergeCell ref="A193:U193"/>
    <mergeCell ref="N157:O157"/>
    <mergeCell ref="F185:R185"/>
    <mergeCell ref="P151:Q151"/>
    <mergeCell ref="P157:Q157"/>
    <mergeCell ref="N156:O156"/>
    <mergeCell ref="P156:Q156"/>
    <mergeCell ref="A158:M158"/>
    <mergeCell ref="N154:O154"/>
    <mergeCell ref="P158:Q158"/>
    <mergeCell ref="A169:M169"/>
    <mergeCell ref="T80:U80"/>
    <mergeCell ref="C149:H149"/>
    <mergeCell ref="I149:J149"/>
    <mergeCell ref="D183:E183"/>
    <mergeCell ref="T152:U152"/>
    <mergeCell ref="N150:O150"/>
    <mergeCell ref="A152:M152"/>
    <mergeCell ref="N151:O151"/>
    <mergeCell ref="A153:M153"/>
    <mergeCell ref="R158:S158"/>
    <mergeCell ref="T70:U70"/>
    <mergeCell ref="A12:U12"/>
    <mergeCell ref="P4:U4"/>
    <mergeCell ref="T76:U79"/>
    <mergeCell ref="O76:P79"/>
    <mergeCell ref="O72:P72"/>
    <mergeCell ref="O70:P70"/>
    <mergeCell ref="M65:N68"/>
    <mergeCell ref="A69:H69"/>
    <mergeCell ref="A65:H68"/>
    <mergeCell ref="A1:U1"/>
    <mergeCell ref="A13:U13"/>
    <mergeCell ref="Q2:U2"/>
    <mergeCell ref="A5:U5"/>
    <mergeCell ref="S6:U6"/>
    <mergeCell ref="S7:U7"/>
    <mergeCell ref="S8:U8"/>
    <mergeCell ref="A2:B2"/>
    <mergeCell ref="A4:B4"/>
    <mergeCell ref="F4:G4"/>
    <mergeCell ref="A63:U63"/>
    <mergeCell ref="O57:P57"/>
    <mergeCell ref="M55:N55"/>
    <mergeCell ref="M57:N57"/>
    <mergeCell ref="O58:P58"/>
    <mergeCell ref="O56:P56"/>
    <mergeCell ref="T62:U62"/>
    <mergeCell ref="T57:U57"/>
    <mergeCell ref="A56:G56"/>
    <mergeCell ref="A74:H74"/>
    <mergeCell ref="K31:L31"/>
    <mergeCell ref="T36:U36"/>
    <mergeCell ref="T71:U71"/>
    <mergeCell ref="S65:S68"/>
    <mergeCell ref="O33:P33"/>
    <mergeCell ref="T31:U31"/>
    <mergeCell ref="F39:U39"/>
    <mergeCell ref="K48:L48"/>
    <mergeCell ref="K32:L32"/>
    <mergeCell ref="T26:U29"/>
    <mergeCell ref="K19:L19"/>
    <mergeCell ref="A19:H19"/>
    <mergeCell ref="M19:N19"/>
    <mergeCell ref="A20:H20"/>
    <mergeCell ref="M23:N23"/>
    <mergeCell ref="A23:H23"/>
    <mergeCell ref="K22:L22"/>
    <mergeCell ref="A26:H29"/>
    <mergeCell ref="I26:L29"/>
    <mergeCell ref="S94:S97"/>
    <mergeCell ref="A89:E89"/>
    <mergeCell ref="A98:G98"/>
    <mergeCell ref="I51:L54"/>
    <mergeCell ref="O51:P54"/>
    <mergeCell ref="O82:P82"/>
    <mergeCell ref="O80:P80"/>
    <mergeCell ref="O74:P74"/>
    <mergeCell ref="O81:P81"/>
    <mergeCell ref="A75:U75"/>
    <mergeCell ref="O100:P100"/>
    <mergeCell ref="A94:H97"/>
    <mergeCell ref="A99:G99"/>
    <mergeCell ref="A100:G100"/>
    <mergeCell ref="A72:H72"/>
    <mergeCell ref="A73:H73"/>
    <mergeCell ref="T85:U85"/>
    <mergeCell ref="Q76:R79"/>
    <mergeCell ref="A76:H79"/>
    <mergeCell ref="A84:U84"/>
    <mergeCell ref="M72:N72"/>
    <mergeCell ref="M73:N73"/>
    <mergeCell ref="M81:N81"/>
    <mergeCell ref="S76:S79"/>
    <mergeCell ref="F2:G2"/>
    <mergeCell ref="K106:L106"/>
    <mergeCell ref="A70:H70"/>
    <mergeCell ref="K100:L100"/>
    <mergeCell ref="K82:L82"/>
    <mergeCell ref="K98:L98"/>
    <mergeCell ref="I76:L79"/>
    <mergeCell ref="A101:U101"/>
    <mergeCell ref="A83:G83"/>
    <mergeCell ref="O32:P32"/>
    <mergeCell ref="M71:N71"/>
    <mergeCell ref="M70:N70"/>
    <mergeCell ref="M69:N69"/>
    <mergeCell ref="O69:P69"/>
    <mergeCell ref="O71:P71"/>
    <mergeCell ref="T118:U118"/>
    <mergeCell ref="O117:P117"/>
    <mergeCell ref="T117:U117"/>
    <mergeCell ref="O120:P123"/>
    <mergeCell ref="A119:U119"/>
    <mergeCell ref="Q120:R123"/>
    <mergeCell ref="M120:N123"/>
    <mergeCell ref="A117:G117"/>
    <mergeCell ref="A120:H123"/>
    <mergeCell ref="O118:P118"/>
    <mergeCell ref="M80:N80"/>
    <mergeCell ref="M94:N97"/>
    <mergeCell ref="I94:L97"/>
    <mergeCell ref="K81:L81"/>
    <mergeCell ref="K80:L80"/>
    <mergeCell ref="M83:N83"/>
    <mergeCell ref="M89:P89"/>
    <mergeCell ref="O83:P83"/>
    <mergeCell ref="A91:U91"/>
    <mergeCell ref="F90:L90"/>
    <mergeCell ref="T87:U87"/>
    <mergeCell ref="T86:U86"/>
    <mergeCell ref="T83:U83"/>
    <mergeCell ref="T82:U82"/>
    <mergeCell ref="T32:U32"/>
    <mergeCell ref="T30:U30"/>
    <mergeCell ref="A40:H43"/>
    <mergeCell ref="T35:U35"/>
    <mergeCell ref="S40:S43"/>
    <mergeCell ref="T33:U33"/>
    <mergeCell ref="M40:N43"/>
    <mergeCell ref="T37:U37"/>
    <mergeCell ref="T40:U43"/>
    <mergeCell ref="Q40:R43"/>
    <mergeCell ref="A80:G80"/>
    <mergeCell ref="A85:S86"/>
    <mergeCell ref="A88:U88"/>
    <mergeCell ref="M33:N33"/>
    <mergeCell ref="T81:U81"/>
    <mergeCell ref="A87:S87"/>
    <mergeCell ref="A81:G81"/>
    <mergeCell ref="K83:L83"/>
    <mergeCell ref="A82:G82"/>
    <mergeCell ref="M82:N82"/>
    <mergeCell ref="T102:U105"/>
    <mergeCell ref="S102:S105"/>
    <mergeCell ref="A92:U92"/>
    <mergeCell ref="A71:H71"/>
    <mergeCell ref="M74:N74"/>
    <mergeCell ref="M76:N79"/>
    <mergeCell ref="K71:L71"/>
    <mergeCell ref="K72:L72"/>
    <mergeCell ref="Q89:U89"/>
    <mergeCell ref="Q90:U90"/>
    <mergeCell ref="A90:E90"/>
    <mergeCell ref="M99:N99"/>
    <mergeCell ref="M100:N100"/>
    <mergeCell ref="H93:U93"/>
    <mergeCell ref="M98:N98"/>
    <mergeCell ref="O98:P98"/>
    <mergeCell ref="K99:L99"/>
    <mergeCell ref="T100:U100"/>
    <mergeCell ref="T99:U99"/>
    <mergeCell ref="O94:P97"/>
    <mergeCell ref="A38:U38"/>
    <mergeCell ref="I40:L43"/>
    <mergeCell ref="O40:P43"/>
    <mergeCell ref="A35:S36"/>
    <mergeCell ref="A39:E39"/>
    <mergeCell ref="A37:S37"/>
    <mergeCell ref="A34:U34"/>
    <mergeCell ref="A6:B6"/>
    <mergeCell ref="A7:B7"/>
    <mergeCell ref="A8:I8"/>
    <mergeCell ref="P11:Q11"/>
    <mergeCell ref="H6:I6"/>
    <mergeCell ref="H7:I7"/>
    <mergeCell ref="A9:U9"/>
    <mergeCell ref="J10:U10"/>
    <mergeCell ref="N6:R6"/>
    <mergeCell ref="K70:L70"/>
    <mergeCell ref="K69:L69"/>
    <mergeCell ref="M58:N58"/>
    <mergeCell ref="A59:U59"/>
    <mergeCell ref="Q65:R68"/>
    <mergeCell ref="O65:P68"/>
    <mergeCell ref="A62:S62"/>
    <mergeCell ref="A64:E64"/>
    <mergeCell ref="F64:U64"/>
    <mergeCell ref="I65:L68"/>
    <mergeCell ref="M44:N44"/>
    <mergeCell ref="M45:N45"/>
    <mergeCell ref="A44:H44"/>
    <mergeCell ref="M56:N56"/>
    <mergeCell ref="K55:L55"/>
    <mergeCell ref="A55:G55"/>
    <mergeCell ref="K56:L56"/>
    <mergeCell ref="K44:L44"/>
    <mergeCell ref="A46:H46"/>
    <mergeCell ref="A45:H45"/>
    <mergeCell ref="K45:L45"/>
    <mergeCell ref="K46:L46"/>
    <mergeCell ref="T65:U68"/>
    <mergeCell ref="T69:U69"/>
    <mergeCell ref="M51:N54"/>
    <mergeCell ref="T51:U54"/>
    <mergeCell ref="S51:S54"/>
    <mergeCell ref="T55:U55"/>
    <mergeCell ref="A60:S61"/>
    <mergeCell ref="K58:L58"/>
    <mergeCell ref="T48:U48"/>
    <mergeCell ref="O48:P48"/>
    <mergeCell ref="A58:G58"/>
    <mergeCell ref="A47:H47"/>
    <mergeCell ref="K47:L47"/>
    <mergeCell ref="M47:N47"/>
    <mergeCell ref="T58:U58"/>
    <mergeCell ref="T56:U56"/>
    <mergeCell ref="A51:H54"/>
    <mergeCell ref="K57:L57"/>
    <mergeCell ref="A50:U50"/>
    <mergeCell ref="M49:N49"/>
    <mergeCell ref="Q51:R54"/>
    <mergeCell ref="O55:P55"/>
    <mergeCell ref="O49:P49"/>
    <mergeCell ref="T49:U49"/>
    <mergeCell ref="A49:H49"/>
    <mergeCell ref="K49:L49"/>
    <mergeCell ref="O112:P115"/>
    <mergeCell ref="I112:L115"/>
    <mergeCell ref="A110:U110"/>
    <mergeCell ref="K107:L107"/>
    <mergeCell ref="T109:U109"/>
    <mergeCell ref="O108:P108"/>
    <mergeCell ref="T108:U108"/>
    <mergeCell ref="A108:H108"/>
    <mergeCell ref="M108:N108"/>
    <mergeCell ref="K108:L108"/>
    <mergeCell ref="A109:S109"/>
    <mergeCell ref="A93:G93"/>
    <mergeCell ref="T116:U116"/>
    <mergeCell ref="S112:S115"/>
    <mergeCell ref="M116:N116"/>
    <mergeCell ref="A116:G116"/>
    <mergeCell ref="K116:L116"/>
    <mergeCell ref="O116:P116"/>
    <mergeCell ref="Q112:R115"/>
    <mergeCell ref="A112:H115"/>
    <mergeCell ref="O44:P44"/>
    <mergeCell ref="O107:P107"/>
    <mergeCell ref="A57:G57"/>
    <mergeCell ref="A48:H48"/>
    <mergeCell ref="M48:N48"/>
    <mergeCell ref="A106:H106"/>
    <mergeCell ref="O102:P105"/>
    <mergeCell ref="M102:N105"/>
    <mergeCell ref="M106:N106"/>
    <mergeCell ref="A102:H105"/>
    <mergeCell ref="A111:G111"/>
    <mergeCell ref="M112:N115"/>
    <mergeCell ref="H111:U111"/>
    <mergeCell ref="T44:U44"/>
    <mergeCell ref="K73:L73"/>
    <mergeCell ref="T72:U72"/>
    <mergeCell ref="O73:P73"/>
    <mergeCell ref="T98:U98"/>
    <mergeCell ref="T73:U73"/>
    <mergeCell ref="K74:L74"/>
    <mergeCell ref="T106:U106"/>
    <mergeCell ref="O99:P99"/>
    <mergeCell ref="O106:P106"/>
    <mergeCell ref="O45:P45"/>
    <mergeCell ref="O46:P46"/>
    <mergeCell ref="O47:P47"/>
    <mergeCell ref="T74:U74"/>
    <mergeCell ref="Q102:R105"/>
    <mergeCell ref="T47:U47"/>
    <mergeCell ref="T60:U60"/>
    <mergeCell ref="M117:N117"/>
    <mergeCell ref="M118:N118"/>
    <mergeCell ref="A124:H124"/>
    <mergeCell ref="K118:L118"/>
    <mergeCell ref="A118:G118"/>
    <mergeCell ref="I120:L123"/>
    <mergeCell ref="M124:N124"/>
    <mergeCell ref="K124:L124"/>
    <mergeCell ref="K117:L117"/>
    <mergeCell ref="Q7:R7"/>
    <mergeCell ref="N8:R8"/>
    <mergeCell ref="T22:U22"/>
    <mergeCell ref="S26:S29"/>
    <mergeCell ref="N7:O7"/>
    <mergeCell ref="M26:N29"/>
    <mergeCell ref="J8:M8"/>
    <mergeCell ref="K20:L20"/>
    <mergeCell ref="M22:N22"/>
    <mergeCell ref="M20:N20"/>
    <mergeCell ref="C2:D2"/>
    <mergeCell ref="C4:D4"/>
    <mergeCell ref="J7:M7"/>
    <mergeCell ref="H2:I2"/>
    <mergeCell ref="J6:M6"/>
    <mergeCell ref="C6:G6"/>
    <mergeCell ref="C7:G7"/>
    <mergeCell ref="H4:I4"/>
    <mergeCell ref="L2:O2"/>
    <mergeCell ref="N4:O4"/>
    <mergeCell ref="C10:G10"/>
    <mergeCell ref="H10:I10"/>
    <mergeCell ref="C11:G11"/>
    <mergeCell ref="K11:O11"/>
    <mergeCell ref="H11:I11"/>
    <mergeCell ref="A147:M147"/>
    <mergeCell ref="A139:M139"/>
    <mergeCell ref="P146:Q146"/>
    <mergeCell ref="M125:N125"/>
    <mergeCell ref="N141:O141"/>
    <mergeCell ref="P139:Q139"/>
    <mergeCell ref="P140:Q140"/>
    <mergeCell ref="A125:H125"/>
    <mergeCell ref="K125:L125"/>
    <mergeCell ref="P137:Q137"/>
    <mergeCell ref="A30:G30"/>
    <mergeCell ref="O31:P31"/>
    <mergeCell ref="M32:N32"/>
    <mergeCell ref="M31:N31"/>
    <mergeCell ref="O30:P30"/>
    <mergeCell ref="A31:G31"/>
    <mergeCell ref="A10:B11"/>
    <mergeCell ref="R11:U11"/>
    <mergeCell ref="A107:H107"/>
    <mergeCell ref="I102:L105"/>
    <mergeCell ref="M107:N107"/>
    <mergeCell ref="T107:U107"/>
    <mergeCell ref="F89:L89"/>
    <mergeCell ref="Q94:R97"/>
    <mergeCell ref="M90:P90"/>
    <mergeCell ref="M21:N21"/>
    <mergeCell ref="N146:O146"/>
    <mergeCell ref="A137:M137"/>
    <mergeCell ref="N137:O137"/>
    <mergeCell ref="N140:O140"/>
    <mergeCell ref="N138:O138"/>
    <mergeCell ref="N139:O139"/>
    <mergeCell ref="A138:M138"/>
    <mergeCell ref="A140:M140"/>
    <mergeCell ref="A142:M142"/>
    <mergeCell ref="A143:M143"/>
    <mergeCell ref="N129:Q129"/>
    <mergeCell ref="A126:H126"/>
    <mergeCell ref="O126:P126"/>
    <mergeCell ref="K126:L126"/>
    <mergeCell ref="A127:S127"/>
    <mergeCell ref="R129:U129"/>
    <mergeCell ref="A129:D129"/>
    <mergeCell ref="M126:N126"/>
    <mergeCell ref="M15:N18"/>
    <mergeCell ref="O124:P124"/>
    <mergeCell ref="M30:N30"/>
    <mergeCell ref="M24:N24"/>
    <mergeCell ref="M46:N46"/>
    <mergeCell ref="A25:U25"/>
    <mergeCell ref="O26:P29"/>
    <mergeCell ref="Q26:R29"/>
    <mergeCell ref="K33:L33"/>
    <mergeCell ref="K30:L30"/>
    <mergeCell ref="K21:L21"/>
    <mergeCell ref="A24:H24"/>
    <mergeCell ref="A32:G32"/>
    <mergeCell ref="A14:E14"/>
    <mergeCell ref="A22:H22"/>
    <mergeCell ref="A21:H21"/>
    <mergeCell ref="I15:L18"/>
    <mergeCell ref="F14:U14"/>
    <mergeCell ref="S15:S18"/>
    <mergeCell ref="A15:H18"/>
    <mergeCell ref="A33:G33"/>
    <mergeCell ref="T15:U18"/>
    <mergeCell ref="O19:P19"/>
    <mergeCell ref="Q15:R18"/>
    <mergeCell ref="T20:U20"/>
    <mergeCell ref="O15:P18"/>
    <mergeCell ref="O20:P20"/>
    <mergeCell ref="T19:U19"/>
    <mergeCell ref="K23:L23"/>
    <mergeCell ref="K24:L24"/>
    <mergeCell ref="T144:U144"/>
    <mergeCell ref="T143:U143"/>
    <mergeCell ref="T23:U23"/>
    <mergeCell ref="T24:U24"/>
    <mergeCell ref="T127:U127"/>
    <mergeCell ref="T126:U126"/>
    <mergeCell ref="T120:U123"/>
    <mergeCell ref="T45:U45"/>
    <mergeCell ref="T112:U115"/>
    <mergeCell ref="T125:U125"/>
    <mergeCell ref="T142:U142"/>
    <mergeCell ref="R142:S142"/>
    <mergeCell ref="T21:U21"/>
    <mergeCell ref="O21:P21"/>
    <mergeCell ref="O23:P23"/>
    <mergeCell ref="O24:P24"/>
    <mergeCell ref="O22:P22"/>
    <mergeCell ref="P142:Q142"/>
    <mergeCell ref="T124:U124"/>
    <mergeCell ref="S120:S123"/>
    <mergeCell ref="T140:U140"/>
    <mergeCell ref="T46:U46"/>
    <mergeCell ref="T61:U61"/>
    <mergeCell ref="T94:U97"/>
    <mergeCell ref="T139:U139"/>
    <mergeCell ref="A132:U132"/>
    <mergeCell ref="O125:P125"/>
    <mergeCell ref="A136:B136"/>
    <mergeCell ref="E129:M129"/>
    <mergeCell ref="A128:U128"/>
    <mergeCell ref="R144:S144"/>
    <mergeCell ref="N142:O142"/>
    <mergeCell ref="N143:O143"/>
    <mergeCell ref="N145:O145"/>
    <mergeCell ref="N144:O144"/>
    <mergeCell ref="P143:Q143"/>
    <mergeCell ref="P144:Q144"/>
    <mergeCell ref="R143:S143"/>
    <mergeCell ref="R145:S145"/>
    <mergeCell ref="P145:Q145"/>
    <mergeCell ref="R140:S140"/>
    <mergeCell ref="R139:S139"/>
    <mergeCell ref="R137:S137"/>
    <mergeCell ref="T169:U169"/>
    <mergeCell ref="T163:U163"/>
    <mergeCell ref="N163:S163"/>
    <mergeCell ref="N169:S169"/>
    <mergeCell ref="P159:Q159"/>
    <mergeCell ref="T164:U164"/>
    <mergeCell ref="P160:Q160"/>
    <mergeCell ref="A165:M165"/>
    <mergeCell ref="T166:U166"/>
    <mergeCell ref="N167:S167"/>
    <mergeCell ref="T167:U167"/>
    <mergeCell ref="N166:S166"/>
    <mergeCell ref="N165:S165"/>
    <mergeCell ref="A166:M166"/>
    <mergeCell ref="A167:M167"/>
    <mergeCell ref="T165:U165"/>
    <mergeCell ref="A168:M168"/>
    <mergeCell ref="A164:M164"/>
    <mergeCell ref="A162:U162"/>
    <mergeCell ref="A159:M159"/>
    <mergeCell ref="A160:M160"/>
    <mergeCell ref="R159:S159"/>
    <mergeCell ref="N160:O160"/>
    <mergeCell ref="T168:U168"/>
    <mergeCell ref="N168:S168"/>
    <mergeCell ref="T159:U159"/>
    <mergeCell ref="N173:S173"/>
    <mergeCell ref="R160:S160"/>
    <mergeCell ref="A171:M171"/>
    <mergeCell ref="A172:M172"/>
    <mergeCell ref="A173:M173"/>
    <mergeCell ref="A170:M170"/>
    <mergeCell ref="A161:U161"/>
    <mergeCell ref="N170:S170"/>
    <mergeCell ref="T170:U170"/>
    <mergeCell ref="T160:U160"/>
    <mergeCell ref="A163:M163"/>
    <mergeCell ref="T180:U180"/>
    <mergeCell ref="A180:E180"/>
    <mergeCell ref="F180:Q180"/>
    <mergeCell ref="A177:U177"/>
    <mergeCell ref="A179:U179"/>
    <mergeCell ref="R178:U178"/>
    <mergeCell ref="A175:M175"/>
    <mergeCell ref="A174:U174"/>
    <mergeCell ref="T172:U172"/>
    <mergeCell ref="A178:J178"/>
    <mergeCell ref="K178:L178"/>
    <mergeCell ref="N176:S176"/>
    <mergeCell ref="T176:U176"/>
    <mergeCell ref="A176:M176"/>
    <mergeCell ref="A150:M150"/>
    <mergeCell ref="A151:M151"/>
    <mergeCell ref="A133:U133"/>
    <mergeCell ref="I136:J136"/>
    <mergeCell ref="C136:H136"/>
    <mergeCell ref="O134:S134"/>
    <mergeCell ref="T134:U134"/>
    <mergeCell ref="F134:G134"/>
    <mergeCell ref="A134:E134"/>
    <mergeCell ref="P141:Q141"/>
    <mergeCell ref="A155:M155"/>
    <mergeCell ref="A156:M156"/>
    <mergeCell ref="A157:M157"/>
    <mergeCell ref="V134:X134"/>
    <mergeCell ref="K136:U136"/>
    <mergeCell ref="A135:U135"/>
    <mergeCell ref="R156:S156"/>
    <mergeCell ref="T153:U153"/>
    <mergeCell ref="N155:O155"/>
    <mergeCell ref="P155:Q155"/>
    <mergeCell ref="P154:Q154"/>
    <mergeCell ref="R154:S154"/>
    <mergeCell ref="T154:U154"/>
    <mergeCell ref="T158:U158"/>
    <mergeCell ref="T155:U155"/>
    <mergeCell ref="T156:U156"/>
    <mergeCell ref="T157:U157"/>
    <mergeCell ref="R157:S157"/>
    <mergeCell ref="A144:M144"/>
    <mergeCell ref="A141:M141"/>
    <mergeCell ref="A181:C181"/>
    <mergeCell ref="N171:S171"/>
    <mergeCell ref="N147:O147"/>
    <mergeCell ref="R147:S147"/>
    <mergeCell ref="P147:Q147"/>
    <mergeCell ref="R151:S151"/>
    <mergeCell ref="P150:Q150"/>
    <mergeCell ref="R150:S150"/>
    <mergeCell ref="A154:M154"/>
    <mergeCell ref="R155:S155"/>
    <mergeCell ref="A149:B149"/>
    <mergeCell ref="K149:U149"/>
    <mergeCell ref="N152:O152"/>
    <mergeCell ref="P152:Q152"/>
    <mergeCell ref="R152:S152"/>
    <mergeCell ref="N153:O153"/>
    <mergeCell ref="P153:Q153"/>
    <mergeCell ref="R153:S153"/>
    <mergeCell ref="A190:H190"/>
    <mergeCell ref="F183:R183"/>
    <mergeCell ref="A185:E185"/>
    <mergeCell ref="A183:C183"/>
    <mergeCell ref="S183:U183"/>
    <mergeCell ref="S181:U181"/>
    <mergeCell ref="D181:E181"/>
    <mergeCell ref="F181:R181"/>
    <mergeCell ref="Q3:U3"/>
    <mergeCell ref="T171:U171"/>
    <mergeCell ref="N164:S164"/>
    <mergeCell ref="N175:S175"/>
    <mergeCell ref="T175:U175"/>
    <mergeCell ref="T173:U173"/>
    <mergeCell ref="N172:S172"/>
    <mergeCell ref="N158:O158"/>
    <mergeCell ref="T151:U151"/>
    <mergeCell ref="T150:U150"/>
    <mergeCell ref="A205:U205"/>
    <mergeCell ref="A201:U201"/>
    <mergeCell ref="A202:H202"/>
    <mergeCell ref="A203:C203"/>
    <mergeCell ref="E203:H203"/>
    <mergeCell ref="A204:C204"/>
    <mergeCell ref="D204:E204"/>
    <mergeCell ref="F204:H204"/>
    <mergeCell ref="A200:U200"/>
    <mergeCell ref="A198:G198"/>
    <mergeCell ref="A191:C191"/>
    <mergeCell ref="A196:G196"/>
    <mergeCell ref="A194:U194"/>
    <mergeCell ref="A195:U195"/>
    <mergeCell ref="D192:E192"/>
    <mergeCell ref="F192:H192"/>
    <mergeCell ref="E191:H191"/>
    <mergeCell ref="A192:C192"/>
  </mergeCells>
  <conditionalFormatting sqref="F90:L90">
    <cfRule type="cellIs" priority="1" dxfId="0" operator="equal" stopIfTrue="1">
      <formula>"Match for Adult Day Services: "</formula>
    </cfRule>
  </conditionalFormatting>
  <conditionalFormatting sqref="M90:P90 N130:Q130">
    <cfRule type="cellIs" priority="2" dxfId="1" operator="between" stopIfTrue="1">
      <formula>0</formula>
      <formula>50000</formula>
    </cfRule>
  </conditionalFormatting>
  <conditionalFormatting sqref="E130:M130">
    <cfRule type="cellIs" priority="3" dxfId="0" operator="equal" stopIfTrue="1">
      <formula>"Match for Non-Medical Transportation: "</formula>
    </cfRule>
  </conditionalFormatting>
  <conditionalFormatting sqref="M89:P89">
    <cfRule type="cellIs" priority="4" dxfId="2" operator="greaterThan" stopIfTrue="1">
      <formula>$H$10</formula>
    </cfRule>
  </conditionalFormatting>
  <conditionalFormatting sqref="N129:Q129">
    <cfRule type="cellIs" priority="5" dxfId="2" operator="greaterThan" stopIfTrue="1">
      <formula>$H$11</formula>
    </cfRule>
  </conditionalFormatting>
  <conditionalFormatting sqref="T175:U175">
    <cfRule type="cellIs" priority="6" dxfId="3" operator="greaterThan" stopIfTrue="1">
      <formula>$T$134</formula>
    </cfRule>
  </conditionalFormatting>
  <conditionalFormatting sqref="T176:U176">
    <cfRule type="cellIs" priority="7" dxfId="3" operator="lessThan" stopIfTrue="1">
      <formula>0</formula>
    </cfRule>
  </conditionalFormatting>
  <dataValidations count="11">
    <dataValidation type="list" allowBlank="1" showErrorMessage="1" promptTitle="Choose" prompt="Please choose from list." errorTitle="Choose" error="You must choose from the list." sqref="P11:Q11">
      <formula1>Group</formula1>
    </dataValidation>
    <dataValidation type="list" allowBlank="1" showErrorMessage="1" promptTitle="Choose" prompt="Please choose from list" errorTitle="Choose" error="You must choose from list" sqref="A106:H108 A124:H126">
      <formula1>PerTrip_Taxi_Commercial_Bus_Transportation</formula1>
    </dataValidation>
    <dataValidation type="list" allowBlank="1" showInputMessage="1" showErrorMessage="1" sqref="A55:A58 A30:A33 A80:A83">
      <formula1>Supported_Employment_Community_Services</formula1>
    </dataValidation>
    <dataValidation type="list" allowBlank="1" showErrorMessage="1" promptTitle="Choose" prompt="Please choose from list" errorTitle="Choose" error="You must choose from list" sqref="A98:A100 A116:A118">
      <formula1>PerMile_PerTripVehicle_Transportation</formula1>
    </dataValidation>
    <dataValidation type="list" allowBlank="1" showErrorMessage="1" promptTitle="Choose" prompt="Please choose from list" errorTitle="Choose" error="You must choose from list" sqref="A44:A49 A19:A24 A69:A74">
      <formula1>Adult_Day_Services</formula1>
    </dataValidation>
    <dataValidation type="list" allowBlank="1" showErrorMessage="1" promptTitle="Choose" prompt="Please choose from list" errorTitle="Choose" error="You must choose from list" sqref="N178 Q178">
      <formula1>x</formula1>
    </dataValidation>
    <dataValidation type="list" allowBlank="1" showInputMessage="1" showErrorMessage="1" sqref="D191 D203">
      <formula1>$M$189:$M$192</formula1>
    </dataValidation>
    <dataValidation type="list" allowBlank="1" showInputMessage="1" showErrorMessage="1" sqref="K98:L100 K30:L33 K19:L24 K124:L126 K116:L118 K44:L49 K69:L74 K106:L108 K55:L58 K80:L83">
      <formula1>Frequency</formula1>
    </dataValidation>
    <dataValidation type="list" allowBlank="1" showErrorMessage="1" errorTitle="Choose" error="You must choose from list" sqref="E2:E4 J2:J4 P2:P3">
      <formula1>x</formula1>
    </dataValidation>
    <dataValidation allowBlank="1" showErrorMessage="1" sqref="K2:K4"/>
    <dataValidation type="list" allowBlank="1" showErrorMessage="1" errorTitle="Choose" error="You must choose from list" sqref="P4:U4">
      <formula1>Addition_or_Replacement</formula1>
    </dataValidation>
  </dataValidations>
  <printOptions/>
  <pageMargins left="0.25" right="0.25" top="0.25" bottom="0.5" header="0.25" footer="0.24"/>
  <pageSetup fitToHeight="0" fitToWidth="1" horizontalDpi="600" verticalDpi="600" orientation="portrait" scale="79" r:id="rId2"/>
  <headerFooter alignWithMargins="0">
    <oddFooter>&amp;L&amp;"Arial,Bold"&amp;A &amp;D&amp;"Arial,Regular"&amp;8
&amp;"Times New Roman,Regular"Created by Lucas County Board of Mental Retardation and Developmental Disabilities          Jaime Olszewski&amp;C
&amp;R&amp;"Arial,Bold"&amp;P of &amp;N&amp;"Arial,Regular"&amp;8
Revised 1/18/2007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LCBMR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jcominsky</dc:creator>
  <cp:keywords/>
  <dc:description/>
  <cp:lastModifiedBy>Mike Search</cp:lastModifiedBy>
  <cp:lastPrinted>2007-10-10T11:42:46Z</cp:lastPrinted>
  <dcterms:created xsi:type="dcterms:W3CDTF">2007-01-02T15:54:10Z</dcterms:created>
  <dcterms:modified xsi:type="dcterms:W3CDTF">2008-01-04T15:35:11Z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-1065061998</vt:i4>
  </property>
  <property fmtid="{D5CDD505-2E9C-101B-9397-08002B2CF9AE}" pid="3" name="_EmailSubject">
    <vt:lpwstr>Handouts from Day Service Array</vt:lpwstr>
  </property>
  <property fmtid="{D5CDD505-2E9C-101B-9397-08002B2CF9AE}" pid="4" name="_AuthorEmail">
    <vt:lpwstr>dlehman@athenscbmrdd.org</vt:lpwstr>
  </property>
  <property fmtid="{D5CDD505-2E9C-101B-9397-08002B2CF9AE}" pid="5" name="_AuthorEmailDisplayName">
    <vt:lpwstr>Dennis Lehman</vt:lpwstr>
  </property>
  <property fmtid="{D5CDD505-2E9C-101B-9397-08002B2CF9AE}" pid="6" name="_ReviewingToolsShownOnce">
    <vt:lpwstr/>
  </property>
</Properties>
</file>